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5390" tabRatio="584" firstSheet="4"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<sst xmlns="http://schemas.openxmlformats.org/spreadsheetml/2006/main" count="769" uniqueCount="338">
  <si>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</si>
  <si>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</si>
  <si>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</si>
  <si>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</si>
  <si>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</si>
  <si>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</si>
  <si>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</si>
  <si>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</si>
  <si>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</si>
  <si>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</si>
  <si>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</si>
  <si>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</si>
  <si>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</si>
  <si>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</si>
  <si>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</si>
  <si>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</si>
  <si>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</si>
  <si>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</si>
  <si>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</si>
  <si>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</si>
  <si>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</si>
  <si>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</si>
  <si>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</si>
  <si>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</si>
  <si>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</si>
  <si>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</si>
  <si>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</si>
  <si>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</si>
  <si>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</si>
  <si>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</si>
  <si>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</si>
  <si>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</si>
  <si>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</si>
  <si>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</si>
  <si>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</si>
  <si>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</si>
  <si>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</si>
  <si>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</si>
  <si>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</si>
  <si>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</si>
  <si>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</si>
  <si>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</si>
  <si>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</si>
  <si>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</si>
  <si>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</si>
  <si>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</si>
  <si>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</si>
  <si>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</si>
  <si>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</si>
  <si>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</si>
  <si>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</si>
  <si>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</si>
  <si>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</si>
  <si>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</si>
  <si>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</si>
  <si>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</si>
  <si>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</si>
  <si>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</si>
  <si>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</si>
  <si>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</si>
  <si>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</si>
  <si>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</si>
  <si>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</si>
  <si>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</si>
  <si>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</si>
  <si>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</si>
  <si>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</si>
  <si>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</si>
  <si>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</si>
  <si>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</si>
  <si>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</si>
  <si>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</si>
  <si>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</si>
  <si>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</si>
  <si>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</si>
  <si>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</si>
  <si>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</si>
  <si>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</si>
  <si>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</si>
  <si>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</si>
  <si>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</si>
  <si>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</si>
  <si>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</si>
  <si>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</si>
  <si>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</si>
  <si>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</si>
  <si>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</si>
  <si>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</si>
  <si>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</si>
  <si>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</si>
  <si>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</si>
  <si>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</si>
  <si>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</si>
  <si>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</si>
  <si>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</si>
  <si>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</si>
  <si>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</si>
  <si>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</si>
  <si>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</si>
  <si>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</si>
  <si>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</si>
  <si>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</si>
  <si>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</si>
  <si>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</si>
  <si>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</si>
  <si>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</si>
  <si>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</si>
  <si>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</si>
  <si>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</si>
  <si>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</si>
  <si>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</si>
  <si>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</si>
  <si>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</si>
  <si>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</si>
  <si>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</si>
  <si>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</si>
  <si>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</si>
  <si>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</si>
  <si>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</si>
  <si>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</si>
  <si>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</si>
  <si>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</si>
  <si>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</si>
  <si>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</si>
  <si>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</si>
  <si>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</si>
  <si>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</si>
  <si>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</si>
  <si>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</si>
  <si>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</si>
  <si>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</si>
  <si>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</si>
  <si>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</si>
  <si>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</si>
  <si>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</si>
  <si>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</si>
  <si>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</si>
  <si>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</si>
  <si>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</si>
  <si>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</si>
  <si>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</si>
  <si>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</si>
  <si>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</si>
  <si>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</si>
  <si>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</si>
  <si>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</si>
  <si>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</si>
  <si>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</si>
  <si>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</si>
  <si>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</si>
  <si>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</si>
  <si>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</si>
  <si>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</si>
  <si>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</si>
  <si>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</si>
  <si>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</si>
  <si>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</si>
  <si>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</si>
  <si>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</si>
  <si>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</si>
  <si>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</si>
  <si>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</si>
  <si>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</si>
  <si>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</si>
  <si>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</si>
  <si>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</si>
  <si>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</si>
  <si>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</si>
  <si>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</si>
  <si>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</si>
  <si>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</si>
  <si>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</si>
  <si>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</si>
  <si>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</si>
  <si>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</si>
  <si>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</si>
  <si>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</si>
  <si>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</si>
  <si>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</si>
  <si>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</si>
  <si>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</si>
  <si>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</si>
  <si>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</si>
  <si>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</si>
  <si>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</si>
  <si>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</si>
  <si>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</si>
  <si>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</si>
  <si>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</si>
  <si>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</si>
  <si>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</si>
  <si>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</si>
  <si>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</si>
  <si>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</si>
  <si>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</si>
  <si>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</si>
  <si>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</si>
  <si>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</si>
  <si>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</si>
  <si>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</si>
  <si>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</si>
  <si>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</si>
  <si>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</si>
  <si>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</si>
  <si>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</si>
  <si>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</si>
  <si>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</si>
  <si>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</si>
  <si>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</si>
  <si>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</si>
  <si>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</si>
  <si>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</si>
  <si>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</si>
  <si>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</si>
  <si>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</si>
  <si>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</si>
  <si>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</si>
  <si>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</si>
  <si>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</si>
  <si>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</si>
  <si>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</si>
  <si>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</si>
  <si>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</si>
  <si>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</si>
  <si>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</si>
  <si>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</si>
  <si>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</si>
  <si>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</si>
  <si>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</si>
  <si>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</si>
  <si>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</si>
  <si>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</si>
  <si>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</si>
  <si>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</si>
  <si>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</si>
  <si>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</si>
  <si>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</si>
  <si>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</si>
  <si>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</si>
  <si>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</si>
  <si>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</si>
  <si>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</si>
  <si>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</si>
  <si>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</si>
  <si>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</si>
  <si>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</si>
  <si>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</si>
  <si>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</si>
  <si>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</si>
  <si>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</si>
  <si>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</si>
  <si>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</si>
  <si>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</si>
  <si>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</si>
  <si>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</si>
  <si>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</si>
  <si>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</si>
  <si>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</si>
  <si>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</si>
  <si>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</si>
  <si>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</si>
  <si>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</si>
  <si>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</si>
  <si>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</si>
  <si>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</si>
  <si>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</si>
  <si>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</si>
  <si>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</si>
  <si>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</si>
  <si>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</si>
  <si>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</si>
  <si>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</si>
  <si>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</si>
  <si>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</si>
  <si>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</si>
  <si>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</si>
  <si>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</si>
  <si>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</si>
  <si>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</si>
  <si>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</si>
  <si>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</si>
  <si>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</si>
  <si>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</si>
  <si>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</si>
  <si>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</si>
  <si>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</si>
  <si>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</si>
  <si>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</si>
  <si>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</si>
  <si>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</si>
  <si>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</si>
  <si>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</si>
  <si>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</si>
  <si>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</si>
  <si>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</si>
  <si>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</si>
  <si>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</si>
  <si>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</si>
  <si>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</si>
  <si>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</si>
  <si>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</si>
  <si>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</si>
  <si>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</si>
  <si>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</si>
  <si>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</si>
  <si>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</si>
  <si>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</si>
  <si>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</si>
  <si>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</si>
  <si>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</si>
  <si>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</si>
  <si>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</si>
  <si>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</si>
  <si>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</si>
  <si>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</si>
  <si>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</si>
  <si>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</si>
  <si>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</si>
  <si>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</si>
  <si>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</si>
  <si>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</si>
  <si>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</si>
  <si>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420 E. Laurel St.</t>
  </si>
  <si>
    <t>Willows</t>
  </si>
  <si>
    <t>Blair Hendry</t>
  </si>
  <si>
    <t>Administrative Services Analyst</t>
  </si>
  <si>
    <t>bhendry@countyofglenn.net</t>
  </si>
  <si>
    <t>(530) 934-1453</t>
  </si>
  <si>
    <t>MHSA CSS Comprehensive Service Plan</t>
  </si>
  <si>
    <t>Access &amp; Linkage</t>
  </si>
  <si>
    <t>PCIT</t>
  </si>
  <si>
    <t>Strengthening Families</t>
  </si>
  <si>
    <t>Stigma Reduction</t>
  </si>
  <si>
    <t>SMART Program</t>
  </si>
  <si>
    <t>Adjustment to 2015-2016 funds after completing 2016-17 Cost Report and updating 2016-17 RER</t>
  </si>
  <si>
    <t>Adjustment to 2016-17 funds after completing 2016-17 Cost Report and updating 2016-17 RER</t>
  </si>
  <si>
    <t xml:space="preserve">We were unable to report our Regional WET interest in the RER. After talking with Charla Holmes she advised us to notate this in the comment section so DHCS staff could contact us and tell us how we should report it. </t>
  </si>
  <si>
    <t>On the adjustment tab for FFP it doesn’t give MHSA Housing as a component to be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</si>
</sst>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64" fontId="11" fillId="0" borderId="4"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206738" y="1145037"/>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2887" y="292116"/>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Information</a:t>
          </a:r>
          <a:r>
            <a:rPr lang="en-US" sz="1100" kern="1200"/>
            <a:t> </a:t>
          </a:r>
          <a:r>
            <a:rPr lang="en-US" sz="1200" kern="1200"/>
            <a:t>WorkSheet</a:t>
          </a:r>
        </a:p>
      </dsp:txBody>
      <dsp:txXfrm>
        <a:off x="47153" y="336382"/>
        <a:ext cx="1206723" cy="818104"/>
      </dsp:txXfrm>
    </dsp:sp>
    <dsp:sp modelId="{8541039B-38A0-4921-BC82-61EFB02031B8}">
      <dsp:nvSpPr>
        <dsp:cNvPr id="0" name=""/>
        <dsp:cNvSpPr/>
      </dsp:nvSpPr>
      <dsp:spPr>
        <a:xfrm>
          <a:off x="1298143" y="378584"/>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280642" y="2163489"/>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076792" y="1310568"/>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a:t>
          </a:r>
        </a:p>
      </dsp:txBody>
      <dsp:txXfrm>
        <a:off x="1121058" y="1354834"/>
        <a:ext cx="1206723" cy="818104"/>
      </dsp:txXfrm>
    </dsp:sp>
    <dsp:sp modelId="{D5B161FD-1DC9-4E69-875D-3A4A5FA05D78}">
      <dsp:nvSpPr>
        <dsp:cNvPr id="0" name=""/>
        <dsp:cNvSpPr/>
      </dsp:nvSpPr>
      <dsp:spPr>
        <a:xfrm>
          <a:off x="2372047" y="1397037"/>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372047" y="1397037"/>
        <a:ext cx="942045" cy="732783"/>
      </dsp:txXfrm>
    </dsp:sp>
    <dsp:sp modelId="{762BC45A-B3D7-4C89-BE27-B0FB40064C1B}">
      <dsp:nvSpPr>
        <dsp:cNvPr id="0" name=""/>
        <dsp:cNvSpPr/>
      </dsp:nvSpPr>
      <dsp:spPr>
        <a:xfrm rot="5400000">
          <a:off x="2354546" y="3181941"/>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150696" y="2329020"/>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&amp; Adjustment</a:t>
          </a:r>
          <a:br>
            <a:rPr lang="en-US" sz="1200" kern="1200"/>
          </a:br>
          <a:r>
            <a:rPr lang="en-US" sz="1200" kern="1200"/>
            <a:t>Worksheets</a:t>
          </a:r>
        </a:p>
      </dsp:txBody>
      <dsp:txXfrm>
        <a:off x="2194962" y="2373286"/>
        <a:ext cx="1206723" cy="818104"/>
      </dsp:txXfrm>
    </dsp:sp>
    <dsp:sp modelId="{0013210A-1BD1-4791-8949-6402BC5EDDE9}">
      <dsp:nvSpPr>
        <dsp:cNvPr id="0" name=""/>
        <dsp:cNvSpPr/>
      </dsp:nvSpPr>
      <dsp:spPr>
        <a:xfrm>
          <a:off x="3445951" y="2415489"/>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224600" y="3347472"/>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 </a:t>
          </a:r>
        </a:p>
      </dsp:txBody>
      <dsp:txXfrm>
        <a:off x="3268866" y="3391738"/>
        <a:ext cx="1206723" cy="818104"/>
      </dsp:txXfrm>
    </dsp:sp>
    <dsp:sp modelId="{508C161B-F096-4451-A84C-8D444A0957CF}">
      <dsp:nvSpPr>
        <dsp:cNvPr id="0" name=""/>
        <dsp:cNvSpPr/>
      </dsp:nvSpPr>
      <dsp:spPr>
        <a:xfrm>
          <a:off x="4519855" y="3433941"/>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80010" tIns="80010" rIns="80010" bIns="80010" numCol="1" spcCol="1270" anchor="ctr" anchorCtr="0">
          <a:noAutofit/>
        </a:bodyPr>
        <a:lstStyle/>
        <a:p>
          <a:pPr marL="171450" lvl="1" indent="-171450" algn="ctr" defTabSz="711200">
            <a:lnSpc>
              <a:spcPct val="90000"/>
            </a:lnSpc>
            <a:spcBef>
              <a:spcPct val="0"/>
            </a:spcBef>
            <a:spcAft>
              <a:spcPct val="15000"/>
            </a:spcAft>
            <a:buChar char="••"/>
          </a:pPr>
          <a:r>
            <a:rPr lang="en-US" sz="1600" kern="1200"/>
            <a:t>Section 3-5</a:t>
          </a:r>
        </a:p>
      </dsp:txBody>
      <dsp:txXfrm>
        <a:off x="4519855" y="3433941"/>
        <a:ext cx="942045" cy="732783"/>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L17" sqref="L17"/>
    </sheetView>
  </sheetViews>
  <sheetFormatPr defaultColWidth="0" defaultRowHeight="15" zeroHeight="1"/>
  <cols>
    <col min="1" max="1" width="2.851562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Glenn</v>
      </c>
      <c r="F7" s="94" t="s">
        <v>2</v>
      </c>
      <c r="G7" s="109">
        <f>IF(ISBLANK('1. Information'!D7),"",'1. Information'!D7)</f>
        <v>43437</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f>IF(J14&lt;&gt;0,VLOOKUP($D$7,Info_County_Code,2,FALSE),"")</f>
        <v>11</v>
      </c>
      <c r="D14" s="84" t="s">
        <v>120</v>
      </c>
      <c r="E14" s="117">
        <v>408152.78</v>
      </c>
      <c r="F14" s="126"/>
      <c r="G14" s="126"/>
      <c r="H14" s="117"/>
      <c r="I14" s="312"/>
      <c r="J14" s="316">
        <f>SUM(E14:I14)</f>
        <v>408152.78</v>
      </c>
      <c r="R14" s="108"/>
      <c r="S14" s="108"/>
    </row>
    <row r="15" spans="2:19" ht="15">
      <c r="B15" s="101">
        <v>2</v>
      </c>
      <c r="C15" s="132">
        <f>IF(J15&lt;&gt;0,VLOOKUP($D$7,Info_County_Code,2,FALSE),"")</f>
        <v>11</v>
      </c>
      <c r="D15" s="84" t="s">
        <v>121</v>
      </c>
      <c r="E15" s="116">
        <v>127208</v>
      </c>
      <c r="F15" s="120">
        <v>17456.25</v>
      </c>
      <c r="G15" s="116"/>
      <c r="H15" s="116"/>
      <c r="I15" s="313"/>
      <c r="J15" s="316">
        <f>SUM(E15:I15)</f>
        <v>144664.25</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1" fitToWidth="1" horizontalDpi="600" verticalDpi="600" orientation="landscape" scale="70"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 sqref="A1:I35"/>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Glenn</v>
      </c>
      <c r="E7" s="3"/>
      <c r="F7" s="97" t="s">
        <v>178</v>
      </c>
      <c r="G7" s="109">
        <f>IF(ISBLANK('1. Information'!D7),"",'1. Information'!D7)</f>
        <v>43437</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11</v>
      </c>
      <c r="D13" s="149" t="s">
        <v>34</v>
      </c>
      <c r="E13" s="337" t="s">
        <v>291</v>
      </c>
      <c r="F13" s="336">
        <v>-8827.11</v>
      </c>
      <c r="G13" s="364" t="s">
        <v>334</v>
      </c>
    </row>
    <row r="14" spans="2:7" ht="30">
      <c r="B14" s="101">
        <v>2</v>
      </c>
      <c r="C14" s="132">
        <f t="shared" si="0"/>
        <v>11</v>
      </c>
      <c r="D14" s="379" t="s">
        <v>35</v>
      </c>
      <c r="E14" s="133" t="s">
        <v>290</v>
      </c>
      <c r="F14" s="150">
        <v>-180.33</v>
      </c>
      <c r="G14" s="364" t="s">
        <v>335</v>
      </c>
    </row>
    <row r="15" spans="2:7" ht="30">
      <c r="B15" s="101">
        <v>3</v>
      </c>
      <c r="C15" s="132">
        <f t="shared" si="0"/>
        <v>11</v>
      </c>
      <c r="D15" s="379" t="s">
        <v>36</v>
      </c>
      <c r="E15" s="133" t="s">
        <v>290</v>
      </c>
      <c r="F15" s="150">
        <v>-608.02</v>
      </c>
      <c r="G15" s="364" t="s">
        <v>335</v>
      </c>
    </row>
    <row r="16" spans="2:7" ht="30">
      <c r="B16" s="101">
        <v>4</v>
      </c>
      <c r="C16" s="132">
        <f t="shared" si="0"/>
        <v>11</v>
      </c>
      <c r="D16" s="379" t="s">
        <v>41</v>
      </c>
      <c r="E16" s="133" t="s">
        <v>291</v>
      </c>
      <c r="F16" s="150">
        <v>701</v>
      </c>
      <c r="G16" s="364" t="s">
        <v>334</v>
      </c>
    </row>
    <row r="17" spans="2:7" ht="15">
      <c r="B17" s="101">
        <v>5</v>
      </c>
      <c r="C17" s="132" t="str">
        <f t="shared" si="0"/>
        <v/>
      </c>
      <c r="D17" s="379"/>
      <c r="E17" s="133"/>
      <c r="F17" s="152"/>
      <c r="G17" s="364"/>
    </row>
    <row r="18" spans="2:7" ht="15">
      <c r="B18" s="101">
        <v>6</v>
      </c>
      <c r="C18" s="132" t="str">
        <f t="shared" si="0"/>
        <v/>
      </c>
      <c r="D18" s="149"/>
      <c r="E18" s="133"/>
      <c r="F18" s="152"/>
      <c r="G18" s="364"/>
    </row>
    <row r="19" spans="2:7" ht="15">
      <c r="B19" s="101">
        <v>7</v>
      </c>
      <c r="C19" s="132" t="str">
        <f t="shared" si="0"/>
        <v/>
      </c>
      <c r="D19" s="149"/>
      <c r="E19" s="133"/>
      <c r="F19" s="152"/>
      <c r="G19" s="364"/>
    </row>
    <row r="20" spans="2:7" ht="15">
      <c r="B20" s="101">
        <v>8</v>
      </c>
      <c r="C20" s="132" t="str">
        <f t="shared" si="0"/>
        <v/>
      </c>
      <c r="D20" s="149"/>
      <c r="E20" s="133"/>
      <c r="F20" s="152"/>
      <c r="G20" s="364"/>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G24" sqref="G24"/>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Glenn</v>
      </c>
      <c r="F7" s="94" t="s">
        <v>2</v>
      </c>
      <c r="G7" s="38">
        <f>IF(ISBLANK('1. Information'!D7),"",'1. Information'!D7)</f>
        <v>43437</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11</v>
      </c>
      <c r="D13" s="379" t="s">
        <v>290</v>
      </c>
      <c r="E13" s="149" t="s">
        <v>182</v>
      </c>
      <c r="F13" s="390" t="s">
        <v>34</v>
      </c>
      <c r="G13" s="92">
        <v>1943316.21</v>
      </c>
      <c r="H13" s="92">
        <v>-179.33</v>
      </c>
      <c r="I13" s="91">
        <f>SUM(G13:H13)</f>
        <v>1943136.88</v>
      </c>
    </row>
    <row r="14" spans="2:9" ht="15">
      <c r="B14" s="101">
        <v>2</v>
      </c>
      <c r="C14" s="132">
        <f t="shared" si="0"/>
        <v>11</v>
      </c>
      <c r="D14" s="379" t="s">
        <v>290</v>
      </c>
      <c r="E14" s="149" t="s">
        <v>182</v>
      </c>
      <c r="F14" s="390" t="s">
        <v>34</v>
      </c>
      <c r="G14" s="92">
        <v>1875</v>
      </c>
      <c r="H14" s="92">
        <v>-701</v>
      </c>
      <c r="I14" s="91">
        <f aca="true" t="shared" si="1" ref="I14:I52">SUM(G14:H14)</f>
        <v>1174</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12" sqref="C12"/>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336</v>
      </c>
    </row>
    <row r="9" spans="2:3" ht="33.75" customHeight="1">
      <c r="B9" s="249">
        <v>2</v>
      </c>
      <c r="C9" s="253" t="s">
        <v>337</v>
      </c>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8" sqref="D1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43437</v>
      </c>
    </row>
    <row r="8" spans="1:4" ht="34.5" customHeight="1">
      <c r="A8" s="99"/>
      <c r="B8" s="130">
        <v>2</v>
      </c>
      <c r="C8" s="102" t="s">
        <v>1</v>
      </c>
      <c r="D8" s="365" t="s">
        <v>53</v>
      </c>
    </row>
    <row r="9" spans="1:4" ht="34.5" customHeight="1">
      <c r="A9" s="99"/>
      <c r="B9" s="130">
        <v>3</v>
      </c>
      <c r="C9" s="103" t="s">
        <v>125</v>
      </c>
      <c r="D9" s="104">
        <f>IF(ISBLANK(D8),"",VLOOKUP(D8,Info_County_Code,2))</f>
        <v>11</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95988</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I47" sqref="I4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Glenn</v>
      </c>
      <c r="F7" s="360" t="s">
        <v>2</v>
      </c>
      <c r="G7" s="259">
        <f>IF(ISBLANK('1. Information'!D7),"",'1. Information'!D7)</f>
        <v>43437</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34690.72</v>
      </c>
      <c r="E15" s="260"/>
      <c r="F15" s="260"/>
      <c r="G15" s="90"/>
      <c r="H15" s="260"/>
      <c r="I15" s="260"/>
      <c r="J15" s="260"/>
      <c r="K15" s="260"/>
      <c r="L15" s="260"/>
      <c r="M15" s="260"/>
      <c r="N15" s="260"/>
    </row>
    <row r="16" spans="2:14" ht="15">
      <c r="B16" s="24">
        <v>2</v>
      </c>
      <c r="C16" s="332" t="s">
        <v>306</v>
      </c>
      <c r="D16" s="394">
        <v>88510</v>
      </c>
      <c r="E16" s="260"/>
      <c r="F16" s="260"/>
      <c r="G16" s="90"/>
      <c r="H16" s="260"/>
      <c r="I16" s="260"/>
      <c r="J16" s="260"/>
      <c r="K16" s="260"/>
      <c r="L16" s="260"/>
      <c r="M16" s="260"/>
      <c r="N16" s="260"/>
    </row>
    <row r="17" spans="2:14" ht="15">
      <c r="B17" s="24">
        <v>3</v>
      </c>
      <c r="C17" s="332" t="s">
        <v>312</v>
      </c>
      <c r="D17" s="91">
        <f>D16+M22+M27+SUM('9. Adjustment (MHSA)'!F83:F112)</f>
        <v>88510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26364.947200000002</v>
      </c>
      <c r="E23" s="380">
        <f>D15*0.19</f>
        <v>6591.236800000001</v>
      </c>
      <c r="F23" s="261">
        <f>D15*0.05</f>
        <v>1734.536</v>
      </c>
      <c r="G23" s="327"/>
      <c r="H23" s="327"/>
      <c r="I23" s="327"/>
      <c r="J23" s="421">
        <v>22243.97</v>
      </c>
      <c r="K23" s="327"/>
      <c r="L23" s="327"/>
      <c r="M23" s="327"/>
      <c r="N23" s="333">
        <f>SUM(D23:M23)</f>
        <v>56934.69</v>
      </c>
    </row>
    <row r="24" spans="2:14" ht="24" customHeight="1">
      <c r="B24" s="24">
        <v>6</v>
      </c>
      <c r="C24" s="266" t="s">
        <v>25</v>
      </c>
      <c r="D24" s="339">
        <f aca="true" t="shared" si="0" ref="D24:L24">SUM(D22:D23)</f>
        <v>26364.947200000002</v>
      </c>
      <c r="E24" s="339">
        <f t="shared" si="0"/>
        <v>6591.236800000001</v>
      </c>
      <c r="F24" s="339">
        <f t="shared" si="0"/>
        <v>1734.536</v>
      </c>
      <c r="G24" s="339">
        <f t="shared" si="0"/>
        <v>0</v>
      </c>
      <c r="H24" s="339">
        <f t="shared" si="0"/>
        <v>0</v>
      </c>
      <c r="I24" s="339">
        <f t="shared" si="0"/>
        <v>0</v>
      </c>
      <c r="J24" s="339">
        <f t="shared" si="0"/>
        <v>22243.97</v>
      </c>
      <c r="K24" s="339">
        <f t="shared" si="0"/>
        <v>0</v>
      </c>
      <c r="L24" s="339">
        <f t="shared" si="0"/>
        <v>0</v>
      </c>
      <c r="M24" s="339">
        <v>0</v>
      </c>
      <c r="N24" s="371">
        <f>SUM(D24:M24)</f>
        <v>56934.69</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2160099</v>
      </c>
      <c r="E30" s="264">
        <f>'4. PEI'!F21</f>
        <v>652348.99</v>
      </c>
      <c r="F30" s="264">
        <f>'5. INN'!F22</f>
        <v>160272.84</v>
      </c>
      <c r="G30" s="264">
        <f>'6. WET'!F20</f>
        <v>0</v>
      </c>
      <c r="H30" s="264">
        <f>'7. CFTN'!F21</f>
        <v>0</v>
      </c>
      <c r="I30" s="334"/>
      <c r="J30" s="264">
        <f>'8. WET RP, HP'!E14</f>
        <v>408152.78</v>
      </c>
      <c r="K30" s="264">
        <f>'4. PEI'!F17</f>
        <v>0</v>
      </c>
      <c r="L30" s="264">
        <f>'8. WET RP, HP'!E15</f>
        <v>127208</v>
      </c>
      <c r="M30" s="334"/>
      <c r="N30" s="264">
        <f aca="true" t="shared" si="1" ref="N30:N35">SUM(D30:M30)</f>
        <v>3508081.6100000003</v>
      </c>
    </row>
    <row r="31" spans="2:14" ht="24" customHeight="1">
      <c r="B31" s="24">
        <v>9</v>
      </c>
      <c r="C31" s="262" t="s">
        <v>5</v>
      </c>
      <c r="D31" s="261">
        <f>'3. CSS'!G25</f>
        <v>2320919.2899999996</v>
      </c>
      <c r="E31" s="261">
        <f>'4. PEI'!G21</f>
        <v>52431.369999999995</v>
      </c>
      <c r="F31" s="261">
        <f>'5. INN'!G22</f>
        <v>70889.02</v>
      </c>
      <c r="G31" s="261">
        <f>'6. WET'!G20</f>
        <v>0</v>
      </c>
      <c r="H31" s="261">
        <f>'7. CFTN'!G21</f>
        <v>0</v>
      </c>
      <c r="I31" s="7"/>
      <c r="J31" s="261">
        <f>'8. WET RP, HP'!F14</f>
        <v>0</v>
      </c>
      <c r="K31" s="261">
        <f>'4. PEI'!G17</f>
        <v>0</v>
      </c>
      <c r="L31" s="261">
        <f>'8. WET RP, HP'!F15</f>
        <v>17456.25</v>
      </c>
      <c r="M31" s="327"/>
      <c r="N31" s="264">
        <f t="shared" si="1"/>
        <v>2461695.9299999997</v>
      </c>
    </row>
    <row r="32" spans="2:14" ht="24" customHeight="1">
      <c r="B32" s="24">
        <v>10</v>
      </c>
      <c r="C32" s="262" t="s">
        <v>6</v>
      </c>
      <c r="D32" s="261">
        <f>'3. CSS'!H25</f>
        <v>183745</v>
      </c>
      <c r="E32" s="261">
        <f>'4. PEI'!H21</f>
        <v>0</v>
      </c>
      <c r="F32" s="261">
        <f>'5. INN'!H22</f>
        <v>0</v>
      </c>
      <c r="G32" s="261">
        <f>'6. WET'!H20</f>
        <v>0</v>
      </c>
      <c r="H32" s="261">
        <f>'7. CFTN'!H21</f>
        <v>0</v>
      </c>
      <c r="I32" s="7"/>
      <c r="J32" s="261">
        <f>'8. WET RP, HP'!G14</f>
        <v>0</v>
      </c>
      <c r="K32" s="261">
        <f>'4. PEI'!H17</f>
        <v>0</v>
      </c>
      <c r="L32" s="261">
        <f>'8. WET RP, HP'!G15</f>
        <v>0</v>
      </c>
      <c r="M32" s="327"/>
      <c r="N32" s="264">
        <f t="shared" si="1"/>
        <v>183745</v>
      </c>
    </row>
    <row r="33" spans="2:14" ht="24" customHeight="1">
      <c r="B33" s="24">
        <v>11</v>
      </c>
      <c r="C33" s="262" t="s">
        <v>31</v>
      </c>
      <c r="D33" s="261">
        <f>'3. CSS'!I25</f>
        <v>614861.48</v>
      </c>
      <c r="E33" s="261">
        <f>'4. PEI'!I21</f>
        <v>35544.08</v>
      </c>
      <c r="F33" s="261">
        <f>'5. INN'!I22</f>
        <v>50173.84</v>
      </c>
      <c r="G33" s="261">
        <f>'6. WET'!I20</f>
        <v>0</v>
      </c>
      <c r="H33" s="261">
        <f>'7. CFTN'!I21</f>
        <v>0</v>
      </c>
      <c r="I33" s="7"/>
      <c r="J33" s="261">
        <f>'8. WET RP, HP'!H14</f>
        <v>0</v>
      </c>
      <c r="K33" s="261">
        <f>'4. PEI'!I17</f>
        <v>0</v>
      </c>
      <c r="L33" s="261">
        <f>'8. WET RP, HP'!H15</f>
        <v>0</v>
      </c>
      <c r="M33" s="327"/>
      <c r="N33" s="264">
        <f t="shared" si="1"/>
        <v>700579.3999999999</v>
      </c>
    </row>
    <row r="34" spans="2:14" ht="24" customHeight="1">
      <c r="B34" s="24">
        <v>12</v>
      </c>
      <c r="C34" s="262" t="s">
        <v>15</v>
      </c>
      <c r="D34" s="261">
        <f>'3. CSS'!J25</f>
        <v>275490.47</v>
      </c>
      <c r="E34" s="261">
        <f>'4. PEI'!J21</f>
        <v>1699.58</v>
      </c>
      <c r="F34" s="261">
        <f>'5. INN'!J22</f>
        <v>4006.17</v>
      </c>
      <c r="G34" s="261">
        <f>'6. WET'!J20</f>
        <v>0</v>
      </c>
      <c r="H34" s="261">
        <f>'7. CFTN'!J21</f>
        <v>0</v>
      </c>
      <c r="I34" s="7"/>
      <c r="J34" s="261">
        <f>'8. WET RP, HP'!I14</f>
        <v>0</v>
      </c>
      <c r="K34" s="261">
        <f>'4. PEI'!J17</f>
        <v>0</v>
      </c>
      <c r="L34" s="261">
        <f>'8. WET RP, HP'!I15</f>
        <v>0</v>
      </c>
      <c r="M34" s="327"/>
      <c r="N34" s="264">
        <f t="shared" si="1"/>
        <v>281196.22</v>
      </c>
    </row>
    <row r="35" spans="2:14" ht="24" customHeight="1">
      <c r="B35" s="24">
        <v>13</v>
      </c>
      <c r="C35" s="266" t="s">
        <v>25</v>
      </c>
      <c r="D35" s="267">
        <f>SUM(D30:D34)</f>
        <v>5555115.239999999</v>
      </c>
      <c r="E35" s="267">
        <f aca="true" t="shared" si="2" ref="E35:L35">SUM(E30:E34)</f>
        <v>742024.0199999999</v>
      </c>
      <c r="F35" s="267">
        <f t="shared" si="2"/>
        <v>285341.86999999994</v>
      </c>
      <c r="G35" s="267">
        <f t="shared" si="2"/>
        <v>0</v>
      </c>
      <c r="H35" s="267">
        <f t="shared" si="2"/>
        <v>0</v>
      </c>
      <c r="I35" s="267">
        <f t="shared" si="2"/>
        <v>0</v>
      </c>
      <c r="J35" s="267">
        <f t="shared" si="2"/>
        <v>408152.78</v>
      </c>
      <c r="K35" s="267">
        <f t="shared" si="2"/>
        <v>0</v>
      </c>
      <c r="L35" s="267">
        <f t="shared" si="2"/>
        <v>144664.25</v>
      </c>
      <c r="M35" s="7"/>
      <c r="N35" s="339">
        <f t="shared" si="1"/>
        <v>7135298.159999999</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888495.22</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9zFeYTkz/rmbk5EwSNAiI9r0d4iJq7Y9tUHBLnRubATjaCWQDTrVYP664LSNGCUDDwCTbwq6Cql/9ExItlppNQ==" saltValue="vjgdUi+B7ANJuxQFj3Ck9g=="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1"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A1" sqref="A1:L42"/>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5"/>
      <c r="C1" s="445"/>
      <c r="D1" s="445"/>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6" t="s">
        <v>1</v>
      </c>
      <c r="C7" s="446"/>
      <c r="D7" s="9" t="str">
        <f>IF(ISBLANK('1. Information'!D8),"",'1. Information'!D8)</f>
        <v>Glenn</v>
      </c>
      <c r="E7" s="281"/>
      <c r="F7" s="279" t="s">
        <v>2</v>
      </c>
      <c r="G7" s="282">
        <f>IF(ISBLANK('1. Information'!D7),"",'1. Information'!D7)</f>
        <v>43437</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8" t="s">
        <v>30</v>
      </c>
      <c r="H12" s="436"/>
      <c r="I12" s="436"/>
      <c r="J12" s="439"/>
      <c r="K12" s="303"/>
      <c r="L12"/>
    </row>
    <row r="13" spans="1:12" ht="47.25">
      <c r="A13" s="281"/>
      <c r="B13" s="40"/>
      <c r="F13" s="30" t="s">
        <v>300</v>
      </c>
      <c r="G13" s="27" t="s">
        <v>5</v>
      </c>
      <c r="H13" s="44" t="s">
        <v>6</v>
      </c>
      <c r="I13" s="27" t="s">
        <v>31</v>
      </c>
      <c r="J13" s="27" t="s">
        <v>15</v>
      </c>
      <c r="K13" s="302" t="s">
        <v>278</v>
      </c>
      <c r="L13"/>
    </row>
    <row r="14" spans="1:12" ht="15">
      <c r="A14" s="281"/>
      <c r="B14" s="277">
        <v>1</v>
      </c>
      <c r="C14" s="443" t="s">
        <v>7</v>
      </c>
      <c r="D14" s="443"/>
      <c r="E14" s="443"/>
      <c r="F14" s="367"/>
      <c r="G14" s="368"/>
      <c r="H14" s="353"/>
      <c r="I14" s="290"/>
      <c r="J14" s="290"/>
      <c r="K14" s="292">
        <f>SUM(F14:J14)</f>
        <v>0</v>
      </c>
      <c r="L14"/>
    </row>
    <row r="15" spans="1:12" ht="15" customHeight="1">
      <c r="A15" s="281"/>
      <c r="B15" s="277">
        <v>2</v>
      </c>
      <c r="C15" s="443" t="s">
        <v>8</v>
      </c>
      <c r="D15" s="443"/>
      <c r="E15" s="443"/>
      <c r="F15" s="367"/>
      <c r="G15" s="290"/>
      <c r="H15" s="290"/>
      <c r="I15" s="290"/>
      <c r="J15" s="290"/>
      <c r="K15" s="292">
        <f>SUM(F15:J15)</f>
        <v>0</v>
      </c>
      <c r="L15"/>
    </row>
    <row r="16" spans="1:12" ht="15">
      <c r="A16" s="281"/>
      <c r="B16" s="277">
        <v>3</v>
      </c>
      <c r="C16" s="443" t="s">
        <v>129</v>
      </c>
      <c r="D16" s="443"/>
      <c r="E16" s="443"/>
      <c r="F16" s="367">
        <v>601096.65</v>
      </c>
      <c r="G16" s="290">
        <v>197778.78</v>
      </c>
      <c r="H16" s="290">
        <v>23916</v>
      </c>
      <c r="I16" s="290"/>
      <c r="J16" s="290">
        <v>920.82</v>
      </c>
      <c r="K16" s="292">
        <f aca="true" t="shared" si="0" ref="K16:K23">SUM(F16:J16)</f>
        <v>823712.25</v>
      </c>
      <c r="L16"/>
    </row>
    <row r="17" spans="1:12" ht="15">
      <c r="A17" s="281"/>
      <c r="B17" s="277">
        <v>4</v>
      </c>
      <c r="C17" s="444" t="s">
        <v>218</v>
      </c>
      <c r="D17" s="444"/>
      <c r="E17" s="444"/>
      <c r="F17" s="367"/>
      <c r="G17" s="290"/>
      <c r="H17" s="290"/>
      <c r="I17" s="290"/>
      <c r="J17" s="290"/>
      <c r="K17" s="292">
        <f t="shared" si="0"/>
        <v>0</v>
      </c>
      <c r="L17"/>
    </row>
    <row r="18" spans="1:12" ht="15">
      <c r="A18" s="281"/>
      <c r="B18" s="277">
        <v>5</v>
      </c>
      <c r="C18" s="444" t="s">
        <v>219</v>
      </c>
      <c r="D18" s="444"/>
      <c r="E18" s="444"/>
      <c r="F18" s="367"/>
      <c r="G18" s="294"/>
      <c r="H18" s="294"/>
      <c r="I18" s="294"/>
      <c r="J18" s="294"/>
      <c r="K18" s="292">
        <f t="shared" si="0"/>
        <v>0</v>
      </c>
      <c r="L18"/>
    </row>
    <row r="19" spans="1:12" ht="15">
      <c r="A19" s="281"/>
      <c r="B19" s="277">
        <v>6</v>
      </c>
      <c r="C19" s="443" t="s">
        <v>216</v>
      </c>
      <c r="D19" s="443"/>
      <c r="E19" s="443"/>
      <c r="F19" s="290"/>
      <c r="G19" s="294"/>
      <c r="H19" s="294"/>
      <c r="I19" s="294"/>
      <c r="J19" s="294"/>
      <c r="K19" s="293">
        <f t="shared" si="0"/>
        <v>0</v>
      </c>
      <c r="L19"/>
    </row>
    <row r="20" spans="1:12" ht="15">
      <c r="A20" s="283"/>
      <c r="B20" s="256">
        <v>7</v>
      </c>
      <c r="C20" s="440" t="s">
        <v>226</v>
      </c>
      <c r="D20" s="441"/>
      <c r="E20" s="442"/>
      <c r="F20" s="290"/>
      <c r="G20" s="293"/>
      <c r="H20" s="293"/>
      <c r="I20" s="293"/>
      <c r="J20" s="293"/>
      <c r="K20" s="293">
        <f t="shared" si="0"/>
        <v>0</v>
      </c>
      <c r="L20"/>
    </row>
    <row r="21" spans="1:12" ht="15">
      <c r="A21" s="283"/>
      <c r="B21" s="256">
        <v>8</v>
      </c>
      <c r="C21" s="440" t="s">
        <v>227</v>
      </c>
      <c r="D21" s="441"/>
      <c r="E21" s="442"/>
      <c r="F21" s="290"/>
      <c r="G21" s="293"/>
      <c r="H21" s="293"/>
      <c r="I21" s="293"/>
      <c r="J21" s="293"/>
      <c r="K21" s="293">
        <f t="shared" si="0"/>
        <v>0</v>
      </c>
      <c r="L21"/>
    </row>
    <row r="22" spans="1:12" ht="15">
      <c r="A22" s="283"/>
      <c r="B22" s="256">
        <v>9</v>
      </c>
      <c r="C22" s="440" t="s">
        <v>225</v>
      </c>
      <c r="D22" s="441"/>
      <c r="E22" s="442"/>
      <c r="F22" s="290"/>
      <c r="G22" s="293"/>
      <c r="H22" s="293"/>
      <c r="I22" s="293"/>
      <c r="J22" s="293"/>
      <c r="K22" s="293">
        <f t="shared" si="0"/>
        <v>0</v>
      </c>
      <c r="L22"/>
    </row>
    <row r="23" spans="1:12" ht="15">
      <c r="A23" s="281"/>
      <c r="B23" s="277">
        <v>10</v>
      </c>
      <c r="C23" s="443" t="s">
        <v>140</v>
      </c>
      <c r="D23" s="443"/>
      <c r="E23" s="443"/>
      <c r="F23" s="294">
        <f>SUM(G33:G132)</f>
        <v>1559002.3499999999</v>
      </c>
      <c r="G23" s="293">
        <f>SUM(H33:H132)</f>
        <v>2123140.51</v>
      </c>
      <c r="H23" s="293">
        <f>SUM(I33:I132)</f>
        <v>159829</v>
      </c>
      <c r="I23" s="293">
        <f>SUM(J33:J132)</f>
        <v>614861.48</v>
      </c>
      <c r="J23" s="293">
        <f>SUM(K33:K132)</f>
        <v>274569.64999999997</v>
      </c>
      <c r="K23" s="293">
        <f t="shared" si="0"/>
        <v>4731402.99</v>
      </c>
      <c r="L23"/>
    </row>
    <row r="24" spans="1:12" ht="30.95" customHeight="1">
      <c r="A24" s="281"/>
      <c r="B24" s="277">
        <v>11</v>
      </c>
      <c r="C24" s="430" t="s">
        <v>223</v>
      </c>
      <c r="D24" s="431"/>
      <c r="E24" s="432"/>
      <c r="F24" s="7">
        <f>SUM(F14:F16,F18:F23)</f>
        <v>2160099</v>
      </c>
      <c r="G24" s="7">
        <f>SUM(G14:G16,G18:G23)</f>
        <v>2320919.2899999996</v>
      </c>
      <c r="H24" s="43">
        <f aca="true" t="shared" si="1" ref="H24:J24">SUM(H14:H16,H18:H23)</f>
        <v>183745</v>
      </c>
      <c r="I24" s="7">
        <f t="shared" si="1"/>
        <v>614861.48</v>
      </c>
      <c r="J24" s="7">
        <f t="shared" si="1"/>
        <v>275490.47</v>
      </c>
      <c r="K24" s="7">
        <f>SUM(K14:K16,K18:K23)</f>
        <v>5555115.24</v>
      </c>
      <c r="L24"/>
    </row>
    <row r="25" spans="1:11" s="325" customFormat="1" ht="30.95" customHeight="1">
      <c r="A25" s="281"/>
      <c r="B25" s="277">
        <v>12</v>
      </c>
      <c r="C25" s="437" t="s">
        <v>283</v>
      </c>
      <c r="D25" s="437"/>
      <c r="E25" s="437"/>
      <c r="F25" s="7">
        <f>SUM(F14:F16,F18,F23)</f>
        <v>2160099</v>
      </c>
      <c r="G25" s="299">
        <f aca="true" t="shared" si="2" ref="G25:J25">SUM(G14:G16,G18,G23)</f>
        <v>2320919.2899999996</v>
      </c>
      <c r="H25" s="299">
        <f t="shared" si="2"/>
        <v>183745</v>
      </c>
      <c r="I25" s="299">
        <f t="shared" si="2"/>
        <v>614861.48</v>
      </c>
      <c r="J25" s="7">
        <f t="shared" si="2"/>
        <v>275490.47</v>
      </c>
      <c r="K25" s="7">
        <f>SUM(K14:K16,K18,K23)</f>
        <v>5555115.24</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6" t="s">
        <v>166</v>
      </c>
      <c r="E31" s="436"/>
      <c r="F31" s="436"/>
      <c r="G31" s="344" t="s">
        <v>28</v>
      </c>
      <c r="H31" s="433" t="s">
        <v>30</v>
      </c>
      <c r="I31" s="434"/>
      <c r="J31" s="434"/>
      <c r="K31" s="435"/>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11</v>
      </c>
      <c r="D33" s="395" t="s">
        <v>328</v>
      </c>
      <c r="E33" s="395"/>
      <c r="F33" s="297" t="s">
        <v>102</v>
      </c>
      <c r="G33" s="291">
        <v>325780.72</v>
      </c>
      <c r="H33" s="291">
        <v>420177.6</v>
      </c>
      <c r="I33" s="291">
        <v>31454.35</v>
      </c>
      <c r="J33" s="318">
        <v>124127.28</v>
      </c>
      <c r="K33" s="291">
        <f>28342.35+1693.07+5602.6+4557.69+13623.36</f>
        <v>53819.07</v>
      </c>
      <c r="L33" s="293">
        <f>SUM(G33:K33)</f>
        <v>955359.0199999999</v>
      </c>
    </row>
    <row r="34" spans="1:12" s="359" customFormat="1" ht="15">
      <c r="A34" s="281"/>
      <c r="B34" s="295">
        <v>2</v>
      </c>
      <c r="C34" s="296">
        <f t="shared" si="3"/>
        <v>11</v>
      </c>
      <c r="D34" s="395" t="s">
        <v>328</v>
      </c>
      <c r="E34" s="395"/>
      <c r="F34" s="297" t="s">
        <v>103</v>
      </c>
      <c r="G34" s="291">
        <v>1233221.63</v>
      </c>
      <c r="H34" s="291">
        <v>1702962.91</v>
      </c>
      <c r="I34" s="291">
        <v>128374.65</v>
      </c>
      <c r="J34" s="318">
        <v>490734.2</v>
      </c>
      <c r="K34" s="291">
        <f>115673.65+6909.93+23964.67+18601.31+55601.02</f>
        <v>220750.58</v>
      </c>
      <c r="L34" s="293">
        <f aca="true" t="shared" si="4" ref="L34:L97">SUM(G34:K34)</f>
        <v>3776043.97</v>
      </c>
    </row>
    <row r="35" spans="1:12" s="359" customFormat="1" ht="15">
      <c r="A35" s="281"/>
      <c r="B35" s="295">
        <v>3</v>
      </c>
      <c r="C35" s="296" t="str">
        <f t="shared" si="3"/>
        <v/>
      </c>
      <c r="D35" s="395"/>
      <c r="E35" s="395"/>
      <c r="F35" s="297"/>
      <c r="G35" s="291"/>
      <c r="H35" s="291"/>
      <c r="I35" s="291"/>
      <c r="J35" s="318"/>
      <c r="K35" s="291"/>
      <c r="L35" s="293">
        <f t="shared" si="4"/>
        <v>0</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scale="4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A1">
      <selection activeCell="A1" sqref="A1:Q51"/>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Glenn</v>
      </c>
      <c r="F7" s="94" t="s">
        <v>2</v>
      </c>
      <c r="G7" s="109">
        <f>IF(ISBLANK('1. Information'!D7),"",'1. Information'!D7)</f>
        <v>43437</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8" t="s">
        <v>30</v>
      </c>
      <c r="H12" s="436"/>
      <c r="I12" s="436"/>
      <c r="J12" s="439"/>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4" t="s">
        <v>133</v>
      </c>
      <c r="D15" s="444"/>
      <c r="E15" s="440"/>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14564.23</v>
      </c>
      <c r="G16" s="387">
        <v>6595.49</v>
      </c>
      <c r="H16" s="387"/>
      <c r="I16" s="387"/>
      <c r="J16" s="387">
        <v>22.31</v>
      </c>
      <c r="K16" s="292">
        <f t="shared" si="0"/>
        <v>21182.030000000002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4" t="s">
        <v>228</v>
      </c>
      <c r="D17" s="444"/>
      <c r="E17" s="440"/>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3" t="s">
        <v>150</v>
      </c>
      <c r="D20" s="443"/>
      <c r="E20" s="443"/>
      <c r="F20" s="315">
        <f>SUMIF($G$36:$G$135,"Combined Summary",L$36:L$135)+SUMIF($F$36:$F$135,"Standalone",L$36:L$135)</f>
        <v>637784.76</v>
      </c>
      <c r="G20" s="119">
        <f>SUMIF($G$36:$G$135,"Combined Summary",M$36:M$135)+SUMIF($F$36:$F$135,"Standalone",M$36:M$135)</f>
        <v>45835.88</v>
      </c>
      <c r="H20" s="119">
        <f>SUMIF($G$36:$G$135,"Combined Summary",N$36:N$135)+SUMIF($F$36:$F$135,"Standalone",N$36:N$135)</f>
        <v>0</v>
      </c>
      <c r="I20" s="119">
        <f>SUMIF($G$36:$G$135,"Combined Summary",O$36:O$135)+SUMIF($F$36:$F$135,"Standalone",O$36:O$135)</f>
        <v>35544.08</v>
      </c>
      <c r="J20" s="119">
        <f>SUMIF($G$36:$G$135,"Combined Summary",P$36:P$135)+SUMIF($F$36:$F$135,"Standalone",P$36:P$135)</f>
        <v>1677.27</v>
      </c>
      <c r="K20" s="293">
        <f t="shared" si="0"/>
        <v>720841.99</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652348.99</v>
      </c>
      <c r="G21" s="8">
        <f aca="true" t="shared" si="1" ref="G21:K21">SUM(G14:G16,G19:G20)</f>
        <v>52431.369999999995</v>
      </c>
      <c r="H21" s="8">
        <f t="shared" si="1"/>
        <v>0</v>
      </c>
      <c r="I21" s="8">
        <f t="shared" si="1"/>
        <v>35544.08</v>
      </c>
      <c r="J21" s="8">
        <f t="shared" si="1"/>
        <v>1699.58</v>
      </c>
      <c r="K21" s="8">
        <f t="shared" si="1"/>
        <v>742024.02</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0.632273268484711</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6" t="s">
        <v>165</v>
      </c>
      <c r="E34" s="436"/>
      <c r="F34" s="436"/>
      <c r="G34" s="436"/>
      <c r="H34" s="436"/>
      <c r="I34" s="436"/>
      <c r="J34" s="436"/>
      <c r="K34" s="436"/>
      <c r="L34" s="340" t="s">
        <v>28</v>
      </c>
      <c r="M34" s="438" t="s">
        <v>30</v>
      </c>
      <c r="N34" s="436"/>
      <c r="O34" s="436"/>
      <c r="P34" s="439"/>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11</v>
      </c>
      <c r="D36" s="395" t="s">
        <v>329</v>
      </c>
      <c r="E36" s="395"/>
      <c r="F36" s="416" t="s">
        <v>143</v>
      </c>
      <c r="G36" s="417" t="s">
        <v>132</v>
      </c>
      <c r="H36" s="125"/>
      <c r="I36" s="134">
        <v>1</v>
      </c>
      <c r="J36" s="134">
        <v>0.34</v>
      </c>
      <c r="K36" s="350">
        <f>IF(OR(G36="Combined Summary",F36="Standalone"),(SUMPRODUCT(--(D$36:D$135=D36),I$36:I$135,J$36:J$135)),"")</f>
        <v>0.34</v>
      </c>
      <c r="L36" s="291">
        <v>141878.64</v>
      </c>
      <c r="M36" s="352"/>
      <c r="N36" s="116"/>
      <c r="O36" s="116"/>
      <c r="P36" s="116">
        <v>373.12</v>
      </c>
      <c r="Q36" s="351">
        <f>SUM(L36:P36)</f>
        <v>142251.76</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11</v>
      </c>
      <c r="D37" s="395" t="s">
        <v>330</v>
      </c>
      <c r="E37" s="395"/>
      <c r="F37" s="416" t="s">
        <v>143</v>
      </c>
      <c r="G37" s="417" t="s">
        <v>137</v>
      </c>
      <c r="H37" s="125"/>
      <c r="I37" s="134">
        <v>1</v>
      </c>
      <c r="J37" s="134">
        <v>1</v>
      </c>
      <c r="K37" s="350">
        <f aca="true" t="shared" si="3" ref="K37:K100">IF(OR(G37="Combined Summary",F37="Standalone"),(SUMPRODUCT(--(D$36:D$135=D37),I$36:I$135,J$36:J$135)),"")</f>
        <v>1</v>
      </c>
      <c r="L37" s="291">
        <v>24989.69</v>
      </c>
      <c r="M37" s="352">
        <v>45835.88</v>
      </c>
      <c r="N37" s="116"/>
      <c r="O37" s="116">
        <v>35544.08</v>
      </c>
      <c r="P37" s="116">
        <v>65.72</v>
      </c>
      <c r="Q37" s="351">
        <f aca="true" t="shared" si="4" ref="Q37:Q100">SUM(L37:P37)</f>
        <v>106435.37</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11</v>
      </c>
      <c r="D38" s="395" t="s">
        <v>147</v>
      </c>
      <c r="E38" s="395"/>
      <c r="F38" s="416" t="s">
        <v>143</v>
      </c>
      <c r="G38" s="417" t="s">
        <v>147</v>
      </c>
      <c r="H38" s="125"/>
      <c r="I38" s="134">
        <v>1</v>
      </c>
      <c r="J38" s="134">
        <v>0.7</v>
      </c>
      <c r="K38" s="350">
        <f t="shared" si="3"/>
        <v>0.7</v>
      </c>
      <c r="L38" s="291">
        <v>304726.07</v>
      </c>
      <c r="M38" s="352"/>
      <c r="N38" s="116"/>
      <c r="O38" s="116"/>
      <c r="P38" s="116">
        <v>801.38</v>
      </c>
      <c r="Q38" s="351">
        <f t="shared" si="4"/>
        <v>305527.45</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11</v>
      </c>
      <c r="D39" s="395" t="s">
        <v>331</v>
      </c>
      <c r="E39" s="395"/>
      <c r="F39" s="416" t="s">
        <v>143</v>
      </c>
      <c r="G39" s="417" t="s">
        <v>136</v>
      </c>
      <c r="H39" s="125"/>
      <c r="I39" s="134">
        <v>1</v>
      </c>
      <c r="J39" s="134">
        <v>1</v>
      </c>
      <c r="K39" s="350">
        <f t="shared" si="3"/>
        <v>1</v>
      </c>
      <c r="L39" s="291">
        <v>13158.19</v>
      </c>
      <c r="M39" s="352"/>
      <c r="N39" s="116"/>
      <c r="O39" s="116"/>
      <c r="P39" s="116">
        <v>34.6</v>
      </c>
      <c r="Q39" s="351">
        <f t="shared" si="4"/>
        <v>13192.79</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11</v>
      </c>
      <c r="D40" s="395" t="s">
        <v>332</v>
      </c>
      <c r="E40" s="395"/>
      <c r="F40" s="416" t="s">
        <v>143</v>
      </c>
      <c r="G40" s="107" t="s">
        <v>136</v>
      </c>
      <c r="H40" s="125"/>
      <c r="I40" s="134">
        <v>1</v>
      </c>
      <c r="J40" s="134">
        <v>0.63</v>
      </c>
      <c r="K40" s="350">
        <f t="shared" si="3"/>
        <v>0.63</v>
      </c>
      <c r="L40" s="291">
        <v>16718.05</v>
      </c>
      <c r="M40" s="352"/>
      <c r="N40" s="116"/>
      <c r="O40" s="116"/>
      <c r="P40" s="116">
        <v>43.97</v>
      </c>
      <c r="Q40" s="351">
        <f t="shared" si="4"/>
        <v>16762.02</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11</v>
      </c>
      <c r="D41" s="395" t="s">
        <v>145</v>
      </c>
      <c r="E41" s="395"/>
      <c r="F41" s="416" t="s">
        <v>143</v>
      </c>
      <c r="G41" s="107" t="s">
        <v>145</v>
      </c>
      <c r="H41" s="125"/>
      <c r="I41" s="134">
        <v>1</v>
      </c>
      <c r="J41" s="134">
        <v>0.75</v>
      </c>
      <c r="K41" s="350">
        <f t="shared" si="3"/>
        <v>0.75</v>
      </c>
      <c r="L41" s="291">
        <v>136314.12</v>
      </c>
      <c r="M41" s="352"/>
      <c r="N41" s="116"/>
      <c r="O41" s="116"/>
      <c r="P41" s="116">
        <v>358.48</v>
      </c>
      <c r="Q41" s="351">
        <f t="shared" si="4"/>
        <v>136672.6</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31"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4">
      <selection activeCell="A4" sqref="A4:P39"/>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Glenn</v>
      </c>
      <c r="F7" s="94" t="s">
        <v>2</v>
      </c>
      <c r="G7" s="109">
        <f>IF(ISBLANK('1. Information'!D7),"",'1. Information'!D7)</f>
        <v>43437</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6" t="s">
        <v>30</v>
      </c>
      <c r="H12" s="436"/>
      <c r="I12" s="436"/>
      <c r="J12" s="439"/>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4" t="s">
        <v>160</v>
      </c>
      <c r="D14" s="444"/>
      <c r="E14" s="444"/>
      <c r="F14" s="290"/>
      <c r="G14" s="45"/>
      <c r="H14" s="29"/>
      <c r="I14" s="29"/>
      <c r="J14" s="309"/>
      <c r="K14" s="293">
        <f>SUM(F14:J14)</f>
        <v>0</v>
      </c>
      <c r="L14"/>
      <c r="M14"/>
      <c r="N14"/>
      <c r="O14" s="108"/>
      <c r="P14" s="108"/>
    </row>
    <row r="15" spans="2:16" ht="15.75">
      <c r="B15" s="101">
        <v>2</v>
      </c>
      <c r="C15" s="444" t="s">
        <v>161</v>
      </c>
      <c r="D15" s="444"/>
      <c r="E15" s="444"/>
      <c r="F15" s="29"/>
      <c r="G15" s="411"/>
      <c r="H15" s="412"/>
      <c r="I15" s="412"/>
      <c r="J15" s="413"/>
      <c r="K15" s="293">
        <f>SUM(F15:J15)</f>
        <v>0</v>
      </c>
      <c r="L15"/>
      <c r="M15"/>
      <c r="N15"/>
      <c r="O15" s="108"/>
      <c r="P15" s="108"/>
    </row>
    <row r="16" spans="2:16" ht="15.75">
      <c r="B16" s="405">
        <v>3</v>
      </c>
      <c r="C16" s="440" t="s">
        <v>314</v>
      </c>
      <c r="D16" s="441"/>
      <c r="E16" s="442"/>
      <c r="F16" s="367"/>
      <c r="G16" s="19"/>
      <c r="H16" s="19"/>
      <c r="I16" s="19"/>
      <c r="J16" s="19"/>
      <c r="K16" s="293">
        <f>SUM(F16:J16)</f>
        <v>0</v>
      </c>
      <c r="L16" s="404"/>
      <c r="M16" s="404"/>
      <c r="N16" s="404"/>
      <c r="O16" s="108"/>
      <c r="P16" s="108"/>
    </row>
    <row r="17" spans="2:16" ht="15.75">
      <c r="B17" s="405">
        <v>4</v>
      </c>
      <c r="C17" s="440" t="s">
        <v>315</v>
      </c>
      <c r="D17" s="441"/>
      <c r="E17" s="442"/>
      <c r="F17" s="410"/>
      <c r="G17" s="19"/>
      <c r="H17" s="19"/>
      <c r="I17" s="19"/>
      <c r="J17" s="19"/>
      <c r="K17" s="293">
        <f>SUM(F17:J17)</f>
        <v>0</v>
      </c>
      <c r="L17" s="404"/>
      <c r="M17" s="404"/>
      <c r="N17" s="404"/>
      <c r="O17" s="108"/>
      <c r="P17" s="108"/>
    </row>
    <row r="18" spans="2:16" ht="15.75">
      <c r="B18" s="101">
        <v>5</v>
      </c>
      <c r="C18" s="444" t="s">
        <v>162</v>
      </c>
      <c r="D18" s="444"/>
      <c r="E18" s="444"/>
      <c r="F18" s="28">
        <f>SUMIF($J$29:$J$132,"Project Administration",K$29:K$132)</f>
        <v>34330.12</v>
      </c>
      <c r="G18" s="46">
        <f>SUMIF($J$29:$J$132,"Project Administration",L$29:L$132)</f>
        <v>9218.23</v>
      </c>
      <c r="H18" s="28">
        <f>SUMIF($J$29:$J$132,"Project Administration",M$29:M$132)</f>
        <v>0</v>
      </c>
      <c r="I18" s="28">
        <f>SUMIF($J$29:$J$132,"Project Administration",N$29:N$132)</f>
        <v>0</v>
      </c>
      <c r="J18" s="28">
        <f>SUMIF($J$29:$J$132,"Project Administration",O$29:O$132)</f>
        <v>52.59</v>
      </c>
      <c r="K18" s="293">
        <f aca="true" t="shared" si="0" ref="K18:K20">SUM(F18:J18)</f>
        <v>43600.94</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4" t="s">
        <v>236</v>
      </c>
      <c r="D20" s="444"/>
      <c r="E20" s="444"/>
      <c r="F20" s="19">
        <f>SUMIF($J$29:$J$132,"Project Direct",K$29:K$132)</f>
        <v>125942.72</v>
      </c>
      <c r="G20" s="47">
        <f>SUMIF($J$29:$J$132,"Project Direct",L$29:L$132)</f>
        <v>61670.79</v>
      </c>
      <c r="H20" s="19">
        <f>SUMIF($J$29:$J$132,"Project Direct",M$29:M$132)</f>
        <v>0</v>
      </c>
      <c r="I20" s="19">
        <f>SUMIF($J$29:$J$132,"Project Direct",N$29:N$132)</f>
        <v>50173.84</v>
      </c>
      <c r="J20" s="19">
        <f>SUMIF($J$29:$J$132,"Project Direct",O$29:O$132)</f>
        <v>3953.58</v>
      </c>
      <c r="K20" s="293">
        <f t="shared" si="0"/>
        <v>241740.93</v>
      </c>
      <c r="L20"/>
      <c r="M20"/>
      <c r="N20"/>
      <c r="O20" s="108"/>
      <c r="P20" s="108"/>
    </row>
    <row r="21" spans="2:16" ht="15.75">
      <c r="B21" s="101">
        <v>8</v>
      </c>
      <c r="C21" s="459" t="s">
        <v>164</v>
      </c>
      <c r="D21" s="459"/>
      <c r="E21" s="459"/>
      <c r="F21" s="18">
        <f>SUM(F18:F20)</f>
        <v>160272.84</v>
      </c>
      <c r="G21" s="48">
        <f>SUM(G18:G20)</f>
        <v>70889.02</v>
      </c>
      <c r="H21" s="18">
        <f>SUM(H18:H20)</f>
        <v>0</v>
      </c>
      <c r="I21" s="18">
        <f>SUM(I18:I20)</f>
        <v>50173.84</v>
      </c>
      <c r="J21" s="18">
        <f aca="true" t="shared" si="1" ref="J21">SUM(J18:J20)</f>
        <v>4006.17</v>
      </c>
      <c r="K21" s="18">
        <f aca="true" t="shared" si="2" ref="K21">SUM(K18:K20)</f>
        <v>285341.87</v>
      </c>
      <c r="L21"/>
      <c r="M21"/>
      <c r="N21"/>
      <c r="O21" s="108"/>
      <c r="P21" s="108"/>
    </row>
    <row r="22" spans="2:16" ht="30.95" customHeight="1">
      <c r="B22" s="101">
        <v>9</v>
      </c>
      <c r="C22" s="456" t="s">
        <v>316</v>
      </c>
      <c r="D22" s="456"/>
      <c r="E22" s="456"/>
      <c r="F22" s="20">
        <f aca="true" t="shared" si="3" ref="F22:K22">SUM(F14:F15,F17,F18:F20)</f>
        <v>160272.84</v>
      </c>
      <c r="G22" s="20">
        <f t="shared" si="3"/>
        <v>70889.02</v>
      </c>
      <c r="H22" s="20">
        <f t="shared" si="3"/>
        <v>0</v>
      </c>
      <c r="I22" s="20">
        <f t="shared" si="3"/>
        <v>50173.84</v>
      </c>
      <c r="J22" s="20">
        <f t="shared" si="3"/>
        <v>4006.17</v>
      </c>
      <c r="K22" s="20">
        <f t="shared" si="3"/>
        <v>285341.87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11</v>
      </c>
      <c r="D29" s="395" t="s">
        <v>333</v>
      </c>
      <c r="E29" s="138"/>
      <c r="F29" s="138">
        <v>41859</v>
      </c>
      <c r="G29" s="138">
        <v>41883</v>
      </c>
      <c r="H29" s="116">
        <v>816344</v>
      </c>
      <c r="I29" s="116"/>
      <c r="J29" s="118" t="s">
        <v>158</v>
      </c>
      <c r="K29" s="120">
        <v>34330.12</v>
      </c>
      <c r="L29" s="120">
        <v>9218.23</v>
      </c>
      <c r="M29" s="116"/>
      <c r="N29" s="116"/>
      <c r="O29" s="129">
        <v>52.59</v>
      </c>
      <c r="P29" s="293">
        <f aca="true" t="shared" si="4" ref="P29:P64">SUM(K29:O29)</f>
        <v>43600.94</v>
      </c>
    </row>
    <row r="30" spans="2:16" ht="15">
      <c r="B30" s="123">
        <v>1</v>
      </c>
      <c r="C30" s="139">
        <f aca="true" t="shared" si="5" ref="C30:I31">IF(ISBLANK(C29),"",C29)</f>
        <v>11</v>
      </c>
      <c r="D30" s="397" t="str">
        <f t="shared" si="5"/>
        <v>SMART Program</v>
      </c>
      <c r="E30" s="140" t="str">
        <f t="shared" si="5"/>
        <v/>
      </c>
      <c r="F30" s="140">
        <f t="shared" si="5"/>
        <v>41859</v>
      </c>
      <c r="G30" s="140">
        <f t="shared" si="5"/>
        <v>41883</v>
      </c>
      <c r="H30" s="122">
        <f t="shared" si="5"/>
        <v>816344</v>
      </c>
      <c r="I30" s="122" t="str">
        <f t="shared" si="5"/>
        <v/>
      </c>
      <c r="J30" s="119" t="s">
        <v>159</v>
      </c>
      <c r="K30" s="120"/>
      <c r="L30" s="120"/>
      <c r="M30" s="116"/>
      <c r="N30" s="116"/>
      <c r="O30" s="129"/>
      <c r="P30" s="293">
        <f t="shared" si="4"/>
        <v>0</v>
      </c>
    </row>
    <row r="31" spans="2:16" ht="15">
      <c r="B31" s="123">
        <v>1</v>
      </c>
      <c r="C31" s="139">
        <f aca="true" t="shared" si="6" ref="C31:H31">IF(ISBLANK(C29),"",C29)</f>
        <v>11</v>
      </c>
      <c r="D31" s="398" t="str">
        <f t="shared" si="6"/>
        <v>SMART Program</v>
      </c>
      <c r="E31" s="141" t="str">
        <f t="shared" si="6"/>
        <v/>
      </c>
      <c r="F31" s="141">
        <f t="shared" si="6"/>
        <v>41859</v>
      </c>
      <c r="G31" s="141">
        <f t="shared" si="6"/>
        <v>41883</v>
      </c>
      <c r="H31" s="119">
        <f t="shared" si="6"/>
        <v>816344</v>
      </c>
      <c r="I31" s="119" t="str">
        <f t="shared" si="5"/>
        <v/>
      </c>
      <c r="J31" s="119" t="s">
        <v>237</v>
      </c>
      <c r="K31" s="120">
        <v>125942.72</v>
      </c>
      <c r="L31" s="120">
        <v>61670.79</v>
      </c>
      <c r="M31" s="116"/>
      <c r="N31" s="116">
        <v>50173.84</v>
      </c>
      <c r="O31" s="129">
        <v>3953.58</v>
      </c>
      <c r="P31" s="293">
        <f t="shared" si="4"/>
        <v>241740.93</v>
      </c>
    </row>
    <row r="32" spans="2:16" ht="15.75">
      <c r="B32" s="96">
        <v>1</v>
      </c>
      <c r="C32" s="22">
        <f aca="true" t="shared" si="7" ref="C32:I32">IF(ISBLANK(C29),"",C29)</f>
        <v>11</v>
      </c>
      <c r="D32" s="399" t="str">
        <f t="shared" si="7"/>
        <v>SMART Program</v>
      </c>
      <c r="E32" s="33" t="str">
        <f t="shared" si="7"/>
        <v/>
      </c>
      <c r="F32" s="33">
        <f t="shared" si="7"/>
        <v>41859</v>
      </c>
      <c r="G32" s="33">
        <f t="shared" si="7"/>
        <v>41883</v>
      </c>
      <c r="H32" s="34">
        <f t="shared" si="7"/>
        <v>816344</v>
      </c>
      <c r="I32" s="34" t="str">
        <f t="shared" si="7"/>
        <v/>
      </c>
      <c r="J32" s="8" t="s">
        <v>263</v>
      </c>
      <c r="K32" s="50">
        <f>SUM(K29:K31)</f>
        <v>160272.84</v>
      </c>
      <c r="L32" s="50">
        <f>SUM(L29:L31)</f>
        <v>70889.02</v>
      </c>
      <c r="M32" s="35">
        <f aca="true" t="shared" si="8" ref="M32:O32">SUM(M29:M31)</f>
        <v>0</v>
      </c>
      <c r="N32" s="35">
        <f t="shared" si="8"/>
        <v>50173.84</v>
      </c>
      <c r="O32" s="311">
        <f t="shared" si="8"/>
        <v>4006.17</v>
      </c>
      <c r="P32" s="8">
        <f t="shared" si="4"/>
        <v>285341.86999999994</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scale="38"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1" sqref="A1:L45"/>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Glenn</v>
      </c>
      <c r="F7" s="94" t="s">
        <v>2</v>
      </c>
      <c r="G7" s="38">
        <f>IF(ISBLANK('1. Information'!D7),"",'1. Information'!D7)</f>
        <v>43437</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4" t="s">
        <v>16</v>
      </c>
      <c r="D14" s="444"/>
      <c r="E14" s="440"/>
      <c r="F14" s="290"/>
      <c r="G14" s="142"/>
      <c r="H14" s="142"/>
      <c r="I14" s="142"/>
      <c r="J14" s="142"/>
      <c r="K14" s="292">
        <f>SUM(F14:J14)</f>
        <v>0</v>
      </c>
      <c r="L14"/>
      <c r="M14"/>
      <c r="N14" s="108"/>
      <c r="O14" s="108"/>
    </row>
    <row r="15" spans="1:15" ht="15.75">
      <c r="A15" s="108"/>
      <c r="B15" s="101">
        <v>2</v>
      </c>
      <c r="C15" s="444" t="s">
        <v>17</v>
      </c>
      <c r="D15" s="444"/>
      <c r="E15" s="440"/>
      <c r="F15" s="290"/>
      <c r="G15" s="142"/>
      <c r="H15" s="142"/>
      <c r="I15" s="142"/>
      <c r="J15" s="142"/>
      <c r="K15" s="292">
        <f aca="true" t="shared" si="0" ref="K15:K19">SUM(F15:J15)</f>
        <v>0</v>
      </c>
      <c r="L15"/>
      <c r="M15"/>
      <c r="N15" s="108"/>
      <c r="O15" s="108"/>
    </row>
    <row r="16" spans="1:15" ht="15.75">
      <c r="A16" s="108"/>
      <c r="B16" s="101">
        <v>3</v>
      </c>
      <c r="C16" s="444" t="s">
        <v>238</v>
      </c>
      <c r="D16" s="444"/>
      <c r="E16" s="440"/>
      <c r="F16" s="290"/>
      <c r="G16" s="355"/>
      <c r="H16" s="355"/>
      <c r="I16" s="355"/>
      <c r="J16" s="355"/>
      <c r="K16" s="292">
        <f t="shared" si="0"/>
        <v>0</v>
      </c>
      <c r="L16"/>
      <c r="M16"/>
      <c r="N16" s="108"/>
      <c r="O16" s="108"/>
    </row>
    <row r="17" spans="1:15" ht="15.75">
      <c r="A17" s="108"/>
      <c r="B17" s="101">
        <v>4</v>
      </c>
      <c r="C17" s="444" t="s">
        <v>221</v>
      </c>
      <c r="D17" s="444"/>
      <c r="E17" s="440"/>
      <c r="F17" s="367"/>
      <c r="G17" s="119"/>
      <c r="H17" s="119"/>
      <c r="I17" s="119"/>
      <c r="J17" s="119"/>
      <c r="K17" s="292">
        <f t="shared" si="0"/>
        <v>0</v>
      </c>
      <c r="L17"/>
      <c r="M17"/>
      <c r="N17" s="108"/>
      <c r="O17" s="108"/>
    </row>
    <row r="18" spans="1:15" ht="15.75">
      <c r="A18" s="108"/>
      <c r="B18" s="101">
        <v>5</v>
      </c>
      <c r="C18" s="444" t="s">
        <v>222</v>
      </c>
      <c r="D18" s="444"/>
      <c r="E18" s="440"/>
      <c r="F18" s="367"/>
      <c r="G18" s="119"/>
      <c r="H18" s="119"/>
      <c r="I18" s="119"/>
      <c r="J18" s="119"/>
      <c r="K18" s="292">
        <f t="shared" si="0"/>
        <v>0</v>
      </c>
      <c r="L18"/>
      <c r="M18"/>
      <c r="N18" s="108"/>
      <c r="O18" s="108"/>
    </row>
    <row r="19" spans="1:15" ht="15.75">
      <c r="A19" s="108"/>
      <c r="B19" s="101">
        <v>6</v>
      </c>
      <c r="C19" s="440" t="s">
        <v>174</v>
      </c>
      <c r="D19" s="441"/>
      <c r="E19" s="442"/>
      <c r="F19" s="122">
        <f>SUM(E28:E32)</f>
        <v>0</v>
      </c>
      <c r="G19" s="121">
        <f aca="true" t="shared" si="1" ref="G19:I19">SUM(F28:F32)</f>
        <v>0</v>
      </c>
      <c r="H19" s="122">
        <f t="shared" si="1"/>
        <v>0</v>
      </c>
      <c r="I19" s="122">
        <f t="shared" si="1"/>
        <v>0</v>
      </c>
      <c r="J19" s="122">
        <f>SUM(I28:I32)</f>
        <v>0</v>
      </c>
      <c r="K19" s="293">
        <f t="shared" si="0"/>
        <v>0</v>
      </c>
      <c r="L19"/>
      <c r="M19"/>
      <c r="N19" s="108"/>
      <c r="O19" s="108"/>
    </row>
    <row r="20" spans="1:15" ht="30.95" customHeight="1">
      <c r="A20" s="108"/>
      <c r="B20" s="101">
        <v>7</v>
      </c>
      <c r="C20" s="456" t="s">
        <v>220</v>
      </c>
      <c r="D20" s="456"/>
      <c r="E20" s="456"/>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A1" sqref="A1:L53"/>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Glenn</v>
      </c>
      <c r="E7" s="16"/>
      <c r="F7" s="95" t="s">
        <v>2</v>
      </c>
      <c r="G7" s="109">
        <f>IF(ISBLANK('1. Information'!D7),"",'1. Information'!D7)</f>
        <v>43437</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6" t="s">
        <v>213</v>
      </c>
      <c r="H12" s="446"/>
      <c r="I12" s="446"/>
      <c r="J12" s="446"/>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5"/>
      <c r="K19" s="118">
        <f t="shared" si="0"/>
        <v>0</v>
      </c>
      <c r="L19"/>
      <c r="M19"/>
      <c r="U19" s="108"/>
      <c r="V19" s="108"/>
      <c r="W19" s="108"/>
    </row>
    <row r="20" spans="2:23" ht="15">
      <c r="B20" s="101">
        <v>7</v>
      </c>
      <c r="C20" s="444" t="s">
        <v>175</v>
      </c>
      <c r="D20" s="444"/>
      <c r="E20" s="444"/>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5" t="s">
        <v>20</v>
      </c>
      <c r="D21" s="465"/>
      <c r="E21" s="465"/>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scale="48"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Glenn County</cp:lastModifiedBy>
  <cp:lastPrinted>2019-02-08T23:57:10Z</cp:lastPrinted>
  <dcterms:created xsi:type="dcterms:W3CDTF">2017-07-05T19:48:18Z</dcterms:created>
  <dcterms:modified xsi:type="dcterms:W3CDTF">2019-02-08T23:57:55Z</dcterms:modified>
  <cp:category/>
  <cp:version/>
  <cp:contentType/>
  <cp:contentStatus/>
</cp:coreProperties>
</file>