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10860" tabRatio="584" firstSheet="5" activeTab="10"/>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Comments'!$B$2:$C$18</definedName>
    <definedName name="_xlnm.Print_Area" localSheetId="3">'2. Component Summary'!$B$2:$N$41</definedName>
    <definedName name="_xlnm.Print_Area" localSheetId="4">'3. CSS'!$B$2:$L$61</definedName>
    <definedName name="_xlnm.Print_Area" localSheetId="5">'4. PEI'!$B$2:$Q$82</definedName>
    <definedName name="_xlnm.Print_Area" localSheetId="6">'5. INN'!$B$2:$P$63</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(MHSA)'!$B$2:$G$78</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<sst xmlns="http://schemas.openxmlformats.org/spreadsheetml/2006/main" count="816" uniqueCount="362">
  <si>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</si>
  <si>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</si>
  <si>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</si>
  <si>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</si>
  <si>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</si>
  <si>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</si>
  <si>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</si>
  <si>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</si>
  <si>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</si>
  <si>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</si>
  <si>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</si>
  <si>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</si>
  <si>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</si>
  <si>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</si>
  <si>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</si>
  <si>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</si>
  <si>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</si>
  <si>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</si>
  <si>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</si>
  <si>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</si>
  <si>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</si>
  <si>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</si>
  <si>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</si>
  <si>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</si>
  <si>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</si>
  <si>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</si>
  <si>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</si>
  <si>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</si>
  <si>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</si>
  <si>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</si>
  <si>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</si>
  <si>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</si>
  <si>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</si>
  <si>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</si>
  <si>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</si>
  <si>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</si>
  <si>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</si>
  <si>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</si>
  <si>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</si>
  <si>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</si>
  <si>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</si>
  <si>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</si>
  <si>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</si>
  <si>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</si>
  <si>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</si>
  <si>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</si>
  <si>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</si>
  <si>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</si>
  <si>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</si>
  <si>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</si>
  <si>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</si>
  <si>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</si>
  <si>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</si>
  <si>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</si>
  <si>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</si>
  <si>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</si>
  <si>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</si>
  <si>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</si>
  <si>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</si>
  <si>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</si>
  <si>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</si>
  <si>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</si>
  <si>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</si>
  <si>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</si>
  <si>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</si>
  <si>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</si>
  <si>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</si>
  <si>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</si>
  <si>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</si>
  <si>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</si>
  <si>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</si>
  <si>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</si>
  <si>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</si>
  <si>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</si>
  <si>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</si>
  <si>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</si>
  <si>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</si>
  <si>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</si>
  <si>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</si>
  <si>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</si>
  <si>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</si>
  <si>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</si>
  <si>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</si>
  <si>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</si>
  <si>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</si>
  <si>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</si>
  <si>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</si>
  <si>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</si>
  <si>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</si>
  <si>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</si>
  <si>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</si>
  <si>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</si>
  <si>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</si>
  <si>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</si>
  <si>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</si>
  <si>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</si>
  <si>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</si>
  <si>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</si>
  <si>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</si>
  <si>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</si>
  <si>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</si>
  <si>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</si>
  <si>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</si>
  <si>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</si>
  <si>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</si>
  <si>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</si>
  <si>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</si>
  <si>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</si>
  <si>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</si>
  <si>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</si>
  <si>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</si>
  <si>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</si>
  <si>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</si>
  <si>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</si>
  <si>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</si>
  <si>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</si>
  <si>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</si>
  <si>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</si>
  <si>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</si>
  <si>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</si>
  <si>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</si>
  <si>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</si>
  <si>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</si>
  <si>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</si>
  <si>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</si>
  <si>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</si>
  <si>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</si>
  <si>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</si>
  <si>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</si>
  <si>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</si>
  <si>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</si>
  <si>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</si>
  <si>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</si>
  <si>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</si>
  <si>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</si>
  <si>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</si>
  <si>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</si>
  <si>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</si>
  <si>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</si>
  <si>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</si>
  <si>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</si>
  <si>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</si>
  <si>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</si>
  <si>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</si>
  <si>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</si>
  <si>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</si>
  <si>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</si>
  <si>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</si>
  <si>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</si>
  <si>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</si>
  <si>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</si>
  <si>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</si>
  <si>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</si>
  <si>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</si>
  <si>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</si>
  <si>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</si>
  <si>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</si>
  <si>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</si>
  <si>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</si>
  <si>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</si>
  <si>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</si>
  <si>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</si>
  <si>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</si>
  <si>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</si>
  <si>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</si>
  <si>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</si>
  <si>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</si>
  <si>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</si>
  <si>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</si>
  <si>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</si>
  <si>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</si>
  <si>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</si>
  <si>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</si>
  <si>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</si>
  <si>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</si>
  <si>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</si>
  <si>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</si>
  <si>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</si>
  <si>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</si>
  <si>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</si>
  <si>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</si>
  <si>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</si>
  <si>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</si>
  <si>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</si>
  <si>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</si>
  <si>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</si>
  <si>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</si>
  <si>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</si>
  <si>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</si>
  <si>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</si>
  <si>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</si>
  <si>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</si>
  <si>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</si>
  <si>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</si>
  <si>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</si>
  <si>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</si>
  <si>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</si>
  <si>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</si>
  <si>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</si>
  <si>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</si>
  <si>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</si>
  <si>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</si>
  <si>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</si>
  <si>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</si>
  <si>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</si>
  <si>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</si>
  <si>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</si>
  <si>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</si>
  <si>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</si>
  <si>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</si>
  <si>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</si>
  <si>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</si>
  <si>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</si>
  <si>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</si>
  <si>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</si>
  <si>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</si>
  <si>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</si>
  <si>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</si>
  <si>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</si>
  <si>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</si>
  <si>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</si>
  <si>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</si>
  <si>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</si>
  <si>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</si>
  <si>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</si>
  <si>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</si>
  <si>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</si>
  <si>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</si>
  <si>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</si>
  <si>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</si>
  <si>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</si>
  <si>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</si>
  <si>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</si>
  <si>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</si>
  <si>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</si>
  <si>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</si>
  <si>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</si>
  <si>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</si>
  <si>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</si>
  <si>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</si>
  <si>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</si>
  <si>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</si>
  <si>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</si>
  <si>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</si>
  <si>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</si>
  <si>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</si>
  <si>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</si>
  <si>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</si>
  <si>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</si>
  <si>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</si>
  <si>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</si>
  <si>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</si>
  <si>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</si>
  <si>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</si>
  <si>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</si>
  <si>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</si>
  <si>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</si>
  <si>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</si>
  <si>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</si>
  <si>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</si>
  <si>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</si>
  <si>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</si>
  <si>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</si>
  <si>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</si>
  <si>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</si>
  <si>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</si>
  <si>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</si>
  <si>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</si>
  <si>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</si>
  <si>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</si>
  <si>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</si>
  <si>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</si>
  <si>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</si>
  <si>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</si>
  <si>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</si>
  <si>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</si>
  <si>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</si>
  <si>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</si>
  <si>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</si>
  <si>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</si>
  <si>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</si>
  <si>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</si>
  <si>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</si>
  <si>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</si>
  <si>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</si>
  <si>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</si>
  <si>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</si>
  <si>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</si>
  <si>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</si>
  <si>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</si>
  <si>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</si>
  <si>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</si>
  <si>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</si>
  <si>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</si>
  <si>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</si>
  <si>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</si>
  <si>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</si>
  <si>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</si>
  <si>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</si>
  <si>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</si>
  <si>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</si>
  <si>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</si>
  <si>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</si>
  <si>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</si>
  <si>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</si>
  <si>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</si>
  <si>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</si>
  <si>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</si>
  <si>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</si>
  <si>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</si>
  <si>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</si>
  <si>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</si>
  <si>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</si>
  <si>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</si>
  <si>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</si>
  <si>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</si>
  <si>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</si>
  <si>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</si>
  <si>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</si>
  <si>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</si>
  <si>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</si>
  <si>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</si>
  <si>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20 North San Pedro Road</t>
  </si>
  <si>
    <t>San Rafael</t>
  </si>
  <si>
    <t>Shahrzad Momenzadeh</t>
  </si>
  <si>
    <t>Accountant II</t>
  </si>
  <si>
    <t>smomenzadeh@marincounty.org</t>
  </si>
  <si>
    <t xml:space="preserve">Crisis Stabilization Unit Expansion </t>
  </si>
  <si>
    <t>Adjusted for Admin Cost Allocation</t>
  </si>
  <si>
    <t>FSP 01 - Youth Empowerment Services (YES)</t>
  </si>
  <si>
    <t>FSP 02 - Transitional Age Youth (TAY)</t>
  </si>
  <si>
    <t>FSP 03 - Support and Treatment After Release (STAR)</t>
  </si>
  <si>
    <t>FSP 04 - Helping Older People Excel (HOPE)</t>
  </si>
  <si>
    <t xml:space="preserve">FSP 05 - Odyssey Programs </t>
  </si>
  <si>
    <t>FSP 06 - Integrated Multi-Service Partnership Assertive Community Treatment (IMPACT)</t>
  </si>
  <si>
    <t>SDOE 01 - Enterprise Resource Center (ERC)</t>
  </si>
  <si>
    <t>SDOE 07 - Adult System of Care (ASOC)</t>
  </si>
  <si>
    <t>SDOE 08 - Co-Occurring Capacity-Alliance in Recovery</t>
  </si>
  <si>
    <t>SDOE 09 - Crisis Continuum of Care</t>
  </si>
  <si>
    <t>SDOE 10 - First Episode Psychosis</t>
  </si>
  <si>
    <t>SDOE 11 - Consumer Operated Wellness Center</t>
  </si>
  <si>
    <t>Electronic Health Record and Practice Mgmnt System Enhancement</t>
  </si>
  <si>
    <t>Growing Roots Young Adult Services Project</t>
  </si>
  <si>
    <t xml:space="preserve"> $48,440.00 should be moved from CSS Administration Costs to CSS Annual Planning Costs on the FY16/17 RER</t>
  </si>
  <si>
    <t>Coordinated Case Management System</t>
  </si>
  <si>
    <t>(415) 473 - 6935</t>
  </si>
  <si>
    <t>PEI-01 Early Childhood Mental Health Consultation</t>
  </si>
  <si>
    <t>PEI-04 Transition Age Youth (TAY)</t>
  </si>
  <si>
    <t>PEI-05 Latino Community Connection</t>
  </si>
  <si>
    <t>PEI-07 Older Adult Prevention and Early Intervension</t>
  </si>
  <si>
    <t>PEI-11 Vietnamese Community Connection</t>
  </si>
  <si>
    <t>PEI-12 Community &amp; Provider PEI Training</t>
  </si>
  <si>
    <t>PEI-18 School Age Prevention and Early Intervention Programs</t>
  </si>
  <si>
    <t>PEI-19 Veterans Community Connection</t>
  </si>
  <si>
    <t>PEI-21 Suicide Prevention</t>
  </si>
  <si>
    <t>PEI-22 Heath Navigator</t>
  </si>
  <si>
    <t>PEI-20 Statewide PEI</t>
  </si>
  <si>
    <t>interest re-allocated from CSS to HP</t>
  </si>
  <si>
    <t>Additional costs &amp; adjusted for Admin Cost Allocation</t>
  </si>
  <si>
    <t xml:space="preserve">Additional costs </t>
  </si>
  <si>
    <t xml:space="preserve">Deduct from CSS Admin Costs-Further review of the CSS admin expenditures by MHSA Coordinator identified that $48,440 paid to contractor was related to planning costs  </t>
  </si>
  <si>
    <t xml:space="preserve">Add to CSS Annual Planning Costs-Further review of the CSS admin expenditures by MHSA Coordinator identified that $48,440 paid to contractor was related to planning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</si>
</sst>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2">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0" fontId="2" fillId="0" borderId="5" xfId="0" applyNumberFormat="1" applyFont="1" applyBorder="1" applyProtection="1">
      <protection locked="0"/>
    </xf>
    <xf numFmtId="0" fontId="2" fillId="0" borderId="5" xfId="0" applyFont="1" applyFill="1" applyBorder="1" applyAlignment="1" applyProtection="1" quotePrefix="1">
      <alignment horizont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E15" sqref="E15"/>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60"/>
      <c r="C1" s="460"/>
      <c r="D1" s="460"/>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3" t="s">
        <v>1</v>
      </c>
      <c r="C7" s="433"/>
      <c r="D7" s="9" t="str">
        <f>IF(ISBLANK('1. Information'!D8),"",'1. Information'!D8)</f>
        <v>Marin</v>
      </c>
      <c r="F7" s="94" t="s">
        <v>2</v>
      </c>
      <c r="G7" s="109">
        <f>IF(ISBLANK('1. Information'!D7),"",'1. Information'!D7)</f>
        <v>43447</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9" t="s">
        <v>30</v>
      </c>
      <c r="G12" s="459"/>
      <c r="H12" s="459"/>
      <c r="I12" s="459"/>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2"/>
  <sheetViews>
    <sheetView showGridLines="0" tabSelected="1" zoomScale="70" zoomScaleNormal="70" workbookViewId="0" topLeftCell="A12">
      <selection activeCell="G18" sqref="G18"/>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3" t="s">
        <v>1</v>
      </c>
      <c r="C7" s="433"/>
      <c r="D7" s="9" t="str">
        <f>IF(ISBLANK('1. Information'!D8),"",'1. Information'!D8)</f>
        <v>Marin</v>
      </c>
      <c r="E7" s="3"/>
      <c r="F7" s="97" t="s">
        <v>178</v>
      </c>
      <c r="G7" s="109">
        <f>IF(ISBLANK('1. Information'!D7),"",'1. Information'!D7)</f>
        <v>43447</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30">
      <c r="B13" s="101">
        <v>1</v>
      </c>
      <c r="C13" s="132">
        <f aca="true" t="shared" si="0" ref="C13:C42">IF(F13&lt;&gt;0,VLOOKUP($D$7,Info_County_Code,2,FALSE),"")</f>
        <v>21</v>
      </c>
      <c r="D13" s="149" t="s">
        <v>34</v>
      </c>
      <c r="E13" s="337" t="s">
        <v>290</v>
      </c>
      <c r="F13" s="336">
        <v>86206.64</v>
      </c>
      <c r="G13" s="364" t="s">
        <v>358</v>
      </c>
    </row>
    <row r="14" spans="2:7" ht="30">
      <c r="B14" s="101">
        <v>2</v>
      </c>
      <c r="C14" s="132">
        <f t="shared" si="0"/>
        <v>21</v>
      </c>
      <c r="D14" s="149" t="s">
        <v>35</v>
      </c>
      <c r="E14" s="133" t="s">
        <v>290</v>
      </c>
      <c r="F14" s="150">
        <v>-2111.65</v>
      </c>
      <c r="G14" s="364" t="s">
        <v>358</v>
      </c>
    </row>
    <row r="15" spans="2:7" ht="30">
      <c r="B15" s="101">
        <v>3</v>
      </c>
      <c r="C15" s="132">
        <f t="shared" si="0"/>
        <v>21</v>
      </c>
      <c r="D15" s="149" t="s">
        <v>36</v>
      </c>
      <c r="E15" s="133" t="s">
        <v>290</v>
      </c>
      <c r="F15" s="150">
        <v>2775.61</v>
      </c>
      <c r="G15" s="364" t="s">
        <v>358</v>
      </c>
    </row>
    <row r="16" spans="2:7" ht="15">
      <c r="B16" s="101">
        <v>4</v>
      </c>
      <c r="C16" s="132">
        <f t="shared" si="0"/>
        <v>21</v>
      </c>
      <c r="D16" s="149" t="s">
        <v>37</v>
      </c>
      <c r="E16" s="133" t="s">
        <v>290</v>
      </c>
      <c r="F16" s="150">
        <v>62353.11</v>
      </c>
      <c r="G16" s="364" t="s">
        <v>359</v>
      </c>
    </row>
    <row r="17" spans="2:7" ht="15">
      <c r="B17" s="101">
        <v>5</v>
      </c>
      <c r="C17" s="132">
        <f t="shared" si="0"/>
        <v>21</v>
      </c>
      <c r="D17" s="149" t="s">
        <v>38</v>
      </c>
      <c r="E17" s="133" t="s">
        <v>290</v>
      </c>
      <c r="F17" s="152">
        <v>-581.43</v>
      </c>
      <c r="G17" s="364" t="s">
        <v>328</v>
      </c>
    </row>
    <row r="18" spans="2:7" ht="72.75" customHeight="1">
      <c r="B18" s="101">
        <v>6</v>
      </c>
      <c r="C18" s="132">
        <f t="shared" si="0"/>
        <v>21</v>
      </c>
      <c r="D18" s="149" t="s">
        <v>34</v>
      </c>
      <c r="E18" s="133" t="s">
        <v>290</v>
      </c>
      <c r="F18" s="152">
        <v>48440</v>
      </c>
      <c r="G18" s="364" t="s">
        <v>361</v>
      </c>
    </row>
    <row r="19" spans="2:7" ht="68.25" customHeight="1">
      <c r="B19" s="101">
        <v>7</v>
      </c>
      <c r="C19" s="132">
        <f t="shared" si="0"/>
        <v>21</v>
      </c>
      <c r="D19" s="149" t="s">
        <v>34</v>
      </c>
      <c r="E19" s="133" t="s">
        <v>290</v>
      </c>
      <c r="F19" s="152">
        <v>-48440</v>
      </c>
      <c r="G19" s="364" t="s">
        <v>360</v>
      </c>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f aca="true" t="shared" si="1" ref="C48:C77">IF(F48&lt;&gt;0,VLOOKUP($D$7,Info_County_Code,2,FALSE),"")</f>
        <v>21</v>
      </c>
      <c r="D48" s="335" t="s">
        <v>286</v>
      </c>
      <c r="E48" s="337" t="s">
        <v>290</v>
      </c>
      <c r="F48" s="336">
        <v>3514.32</v>
      </c>
      <c r="G48" s="364" t="s">
        <v>357</v>
      </c>
    </row>
    <row r="49" spans="2:7" ht="15">
      <c r="B49" s="101">
        <v>2</v>
      </c>
      <c r="C49" s="132">
        <f t="shared" si="1"/>
        <v>21</v>
      </c>
      <c r="D49" s="335" t="s">
        <v>286</v>
      </c>
      <c r="E49" s="133" t="s">
        <v>290</v>
      </c>
      <c r="F49" s="150">
        <v>-3514.32</v>
      </c>
      <c r="G49" s="364" t="s">
        <v>357</v>
      </c>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fitToHeight="1" fitToWidth="1" horizontalDpi="600" verticalDpi="600" orientation="portrait" scale="63"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H13" sqref="H13"/>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60"/>
      <c r="C1" s="460"/>
      <c r="D1" s="460"/>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3" t="s">
        <v>1</v>
      </c>
      <c r="C7" s="433"/>
      <c r="D7" s="9" t="str">
        <f>IF(ISBLANK('1. Information'!D8),"",'1. Information'!D8)</f>
        <v>Marin</v>
      </c>
      <c r="F7" s="94" t="s">
        <v>2</v>
      </c>
      <c r="G7" s="38">
        <f>IF(ISBLANK('1. Information'!D7),"",'1. Information'!D7)</f>
        <v>43447</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f aca="true" t="shared" si="0" ref="C13:C52">IF(I13&lt;&gt;0,VLOOKUP($D$7,Info_County_Code,2,FALSE),"")</f>
        <v>21</v>
      </c>
      <c r="D13" s="379" t="s">
        <v>290</v>
      </c>
      <c r="E13" s="149" t="s">
        <v>182</v>
      </c>
      <c r="F13" s="390" t="s">
        <v>34</v>
      </c>
      <c r="G13" s="92">
        <v>-2603419.39</v>
      </c>
      <c r="H13" s="92">
        <f>319676.7</f>
        <v>319676.7</v>
      </c>
      <c r="I13" s="91">
        <f>SUM(G13:H13)</f>
        <v>-2283742.69</v>
      </c>
    </row>
    <row r="14" spans="2:9" ht="15">
      <c r="B14" s="101">
        <v>2</v>
      </c>
      <c r="C14" s="132">
        <f t="shared" si="0"/>
        <v>21</v>
      </c>
      <c r="D14" s="379" t="s">
        <v>290</v>
      </c>
      <c r="E14" s="149" t="s">
        <v>182</v>
      </c>
      <c r="F14" s="390" t="s">
        <v>37</v>
      </c>
      <c r="G14" s="92">
        <v>0</v>
      </c>
      <c r="H14" s="92">
        <f>-298.24</f>
        <v>-298.24</v>
      </c>
      <c r="I14" s="91">
        <f aca="true" t="shared" si="1" ref="I14:I52">SUM(G14:H14)</f>
        <v>-298.24</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portrait"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8"/>
  <sheetViews>
    <sheetView showGridLines="0" zoomScale="85" zoomScaleNormal="85" workbookViewId="0" topLeftCell="A7">
      <selection activeCell="C8" sqref="C8"/>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t="s">
        <v>343</v>
      </c>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fitToHeight="1" fitToWidth="1" horizontalDpi="600" verticalDpi="600" orientation="portrait" scale="61"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8" t="s">
        <v>169</v>
      </c>
      <c r="B1" s="469"/>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1" t="s">
        <v>198</v>
      </c>
      <c r="B2" s="471"/>
      <c r="C2" s="471"/>
      <c r="D2" s="471"/>
      <c r="E2" s="471"/>
    </row>
    <row r="3" spans="1:5" ht="14.25" customHeight="1">
      <c r="A3" s="471" t="s">
        <v>307</v>
      </c>
      <c r="B3" s="471"/>
      <c r="C3" s="471"/>
      <c r="D3" s="471"/>
      <c r="E3" s="471"/>
    </row>
    <row r="4" spans="1:4" ht="14.25" customHeight="1" thickBot="1">
      <c r="A4" s="173"/>
      <c r="B4" s="174"/>
      <c r="C4" s="175"/>
      <c r="D4" s="176"/>
    </row>
    <row r="5" spans="1:5" ht="14.25" customHeight="1">
      <c r="A5" s="177" t="s">
        <v>199</v>
      </c>
      <c r="B5" s="470" t="s">
        <v>200</v>
      </c>
      <c r="C5" s="470"/>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XFD1048576"/>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9" t="s">
        <v>280</v>
      </c>
      <c r="C7" s="427"/>
      <c r="F7" s="224"/>
    </row>
    <row r="8" spans="2:7" ht="55.5" customHeight="1">
      <c r="B8" s="430" t="s">
        <v>281</v>
      </c>
      <c r="C8" s="431"/>
      <c r="F8" s="222"/>
      <c r="G8" s="224"/>
    </row>
    <row r="9" spans="2:6" ht="39.95" customHeight="1">
      <c r="B9" s="430" t="s">
        <v>279</v>
      </c>
      <c r="C9" s="431"/>
      <c r="E9" s="222"/>
      <c r="F9" s="223"/>
    </row>
    <row r="10" spans="2:4" ht="39.95" customHeight="1">
      <c r="B10" s="431" t="s">
        <v>264</v>
      </c>
      <c r="C10" s="431"/>
      <c r="D10" s="221"/>
    </row>
    <row r="11" ht="15"/>
    <row r="12" spans="2:3" ht="29.25" customHeight="1">
      <c r="B12" s="427" t="s">
        <v>266</v>
      </c>
      <c r="C12" s="428" t="s">
        <v>272</v>
      </c>
    </row>
    <row r="13" spans="2:3" ht="18" customHeight="1">
      <c r="B13" s="427"/>
      <c r="C13" s="427"/>
    </row>
    <row r="14" spans="2:3" ht="60.75" customHeight="1">
      <c r="B14" s="424" t="s">
        <v>267</v>
      </c>
      <c r="C14" s="381" t="s">
        <v>311</v>
      </c>
    </row>
    <row r="15" spans="2:3" ht="68.25" customHeight="1">
      <c r="B15" s="425"/>
      <c r="C15" s="382" t="s">
        <v>321</v>
      </c>
    </row>
    <row r="16" spans="2:3" ht="66" customHeight="1">
      <c r="B16" s="426"/>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7" sqref="D17"/>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43447</v>
      </c>
    </row>
    <row r="8" spans="1:4" ht="34.5" customHeight="1">
      <c r="A8" s="99"/>
      <c r="B8" s="130">
        <v>2</v>
      </c>
      <c r="C8" s="102" t="s">
        <v>1</v>
      </c>
      <c r="D8" s="365" t="s">
        <v>63</v>
      </c>
    </row>
    <row r="9" spans="1:4" ht="34.5" customHeight="1">
      <c r="A9" s="99"/>
      <c r="B9" s="130">
        <v>3</v>
      </c>
      <c r="C9" s="103" t="s">
        <v>125</v>
      </c>
      <c r="D9" s="104">
        <f>IF(ISBLANK(D8),"",VLOOKUP(D8,Info_County_Code,2))</f>
        <v>21</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94903</v>
      </c>
    </row>
    <row r="13" spans="1:4" ht="34.5" customHeight="1">
      <c r="A13" s="99"/>
      <c r="B13" s="130">
        <v>7</v>
      </c>
      <c r="C13" s="105" t="s">
        <v>185</v>
      </c>
      <c r="D13" s="106" t="str">
        <f>IF(ISBLANK(D8),"",VLOOKUP(D8,County_Population,5,FALSE))</f>
        <v>Yes</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345</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portrait"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68" zoomScaleNormal="68" zoomScaleSheetLayoutView="40" workbookViewId="0" topLeftCell="A1">
      <pane xSplit="3" ySplit="20" topLeftCell="D21" activePane="bottomRight" state="frozen"/>
      <selection pane="topRight" activeCell="D1" sqref="D1"/>
      <selection pane="bottomLeft" activeCell="A16" sqref="A16"/>
      <selection pane="bottomRight" activeCell="E35" sqref="E35"/>
    </sheetView>
  </sheetViews>
  <sheetFormatPr defaultColWidth="9.140625" defaultRowHeight="15" zeroHeight="1"/>
  <cols>
    <col min="1" max="1" width="5.28125" style="347" customWidth="1"/>
    <col min="2" max="2" width="12.57421875" style="258" customWidth="1"/>
    <col min="3" max="3" width="60.7109375" style="258" customWidth="1"/>
    <col min="4" max="4" width="21.7109375" style="258" customWidth="1"/>
    <col min="5" max="5" width="20.57421875" style="258" customWidth="1"/>
    <col min="6" max="6" width="19.57421875" style="258" customWidth="1"/>
    <col min="7" max="8" width="20.421875" style="258" customWidth="1"/>
    <col min="9" max="9" width="16.7109375" style="258" customWidth="1"/>
    <col min="10" max="10" width="18.57421875" style="258" customWidth="1"/>
    <col min="11" max="11" width="16.00390625" style="258" customWidth="1"/>
    <col min="12" max="12" width="18.00390625" style="258" customWidth="1"/>
    <col min="13" max="13" width="13.4218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Marin</v>
      </c>
      <c r="F7" s="360" t="s">
        <v>2</v>
      </c>
      <c r="G7" s="259">
        <f>IF(ISBLANK('1. Information'!D7),"",'1. Information'!D7)</f>
        <v>43447</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240962.57</v>
      </c>
      <c r="E15" s="260"/>
      <c r="F15" s="260"/>
      <c r="G15" s="90"/>
      <c r="H15" s="260"/>
      <c r="I15" s="260"/>
      <c r="J15" s="260"/>
      <c r="K15" s="260"/>
      <c r="L15" s="260"/>
      <c r="M15" s="260"/>
      <c r="N15" s="260"/>
    </row>
    <row r="16" spans="2:14" ht="15">
      <c r="B16" s="24">
        <v>2</v>
      </c>
      <c r="C16" s="332" t="s">
        <v>306</v>
      </c>
      <c r="D16" s="394">
        <v>2175490</v>
      </c>
      <c r="E16" s="260"/>
      <c r="F16" s="260"/>
      <c r="G16" s="90"/>
      <c r="H16" s="260"/>
      <c r="I16" s="260"/>
      <c r="J16" s="260"/>
      <c r="K16" s="260"/>
      <c r="L16" s="260"/>
      <c r="M16" s="260"/>
      <c r="N16" s="260"/>
    </row>
    <row r="17" spans="2:14" ht="15">
      <c r="B17" s="24">
        <v>3</v>
      </c>
      <c r="C17" s="332" t="s">
        <v>312</v>
      </c>
      <c r="D17" s="91">
        <f>D16+M22+M27+SUM('9. Adjustment (MHSA)'!F83:F112)</f>
        <v>2175490</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183131.5532</v>
      </c>
      <c r="E23" s="380">
        <f>D15*0.19</f>
        <v>45782.8883</v>
      </c>
      <c r="F23" s="261">
        <f>D15*0.05</f>
        <v>12048.1285</v>
      </c>
      <c r="G23" s="327"/>
      <c r="H23" s="327"/>
      <c r="I23" s="327"/>
      <c r="J23" s="334"/>
      <c r="K23" s="327"/>
      <c r="L23" s="327"/>
      <c r="M23" s="327"/>
      <c r="N23" s="333">
        <f>SUM(D23:M23)</f>
        <v>240962.56999999998</v>
      </c>
    </row>
    <row r="24" spans="2:14" ht="24" customHeight="1">
      <c r="B24" s="24">
        <v>6</v>
      </c>
      <c r="C24" s="266" t="s">
        <v>25</v>
      </c>
      <c r="D24" s="339">
        <f aca="true" t="shared" si="0" ref="D24:L24">SUM(D22:D23)</f>
        <v>183131.5532</v>
      </c>
      <c r="E24" s="339">
        <f t="shared" si="0"/>
        <v>45782.8883</v>
      </c>
      <c r="F24" s="339">
        <f t="shared" si="0"/>
        <v>12048.1285</v>
      </c>
      <c r="G24" s="339">
        <f t="shared" si="0"/>
        <v>0</v>
      </c>
      <c r="H24" s="339">
        <f t="shared" si="0"/>
        <v>0</v>
      </c>
      <c r="I24" s="339">
        <f t="shared" si="0"/>
        <v>0</v>
      </c>
      <c r="J24" s="339">
        <f t="shared" si="0"/>
        <v>0</v>
      </c>
      <c r="K24" s="339">
        <f t="shared" si="0"/>
        <v>0</v>
      </c>
      <c r="L24" s="339">
        <f t="shared" si="0"/>
        <v>0</v>
      </c>
      <c r="M24" s="339">
        <v>0</v>
      </c>
      <c r="N24" s="371">
        <f>SUM(D24:M24)</f>
        <v>240962.56999999998</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-1500000</v>
      </c>
      <c r="E27" s="334"/>
      <c r="F27" s="334"/>
      <c r="G27" s="264">
        <f>'3. CSS'!F20</f>
        <v>1000000</v>
      </c>
      <c r="H27" s="264">
        <f>'3. CSS'!F21</f>
        <v>500000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5873973.5</v>
      </c>
      <c r="E30" s="264">
        <f>'4. PEI'!F21</f>
        <v>1592804.96</v>
      </c>
      <c r="F30" s="264">
        <f>'5. INN'!F22</f>
        <v>575732.46</v>
      </c>
      <c r="G30" s="264">
        <f>'6. WET'!F20</f>
        <v>307212.42000000004</v>
      </c>
      <c r="H30" s="264">
        <f>'7. CFTN'!F21</f>
        <v>358375.68999999994</v>
      </c>
      <c r="I30" s="334"/>
      <c r="J30" s="264">
        <f>'8. WET RP, HP'!E14</f>
        <v>0</v>
      </c>
      <c r="K30" s="264">
        <f>'4. PEI'!F17</f>
        <v>0</v>
      </c>
      <c r="L30" s="264">
        <f>'8. WET RP, HP'!E15</f>
        <v>0</v>
      </c>
      <c r="M30" s="334"/>
      <c r="N30" s="264">
        <f aca="true" t="shared" si="1" ref="N30:N35">SUM(D30:M30)</f>
        <v>8708099.03</v>
      </c>
    </row>
    <row r="31" spans="2:14" ht="24" customHeight="1">
      <c r="B31" s="24">
        <v>9</v>
      </c>
      <c r="C31" s="262" t="s">
        <v>5</v>
      </c>
      <c r="D31" s="261">
        <f>'3. CSS'!G25</f>
        <v>2757321.34</v>
      </c>
      <c r="E31" s="261">
        <f>'4. PEI'!G21</f>
        <v>0</v>
      </c>
      <c r="F31" s="261">
        <f>'5. INN'!G22</f>
        <v>0</v>
      </c>
      <c r="G31" s="261">
        <f>'6. WET'!G20</f>
        <v>0</v>
      </c>
      <c r="H31" s="261">
        <f>'7. CFTN'!G21</f>
        <v>0</v>
      </c>
      <c r="I31" s="7"/>
      <c r="J31" s="261">
        <f>'8. WET RP, HP'!F14</f>
        <v>0</v>
      </c>
      <c r="K31" s="261">
        <f>'4. PEI'!G17</f>
        <v>0</v>
      </c>
      <c r="L31" s="261">
        <f>'8. WET RP, HP'!F15</f>
        <v>0</v>
      </c>
      <c r="M31" s="327"/>
      <c r="N31" s="264">
        <f t="shared" si="1"/>
        <v>2757321.34</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83227</v>
      </c>
      <c r="E34" s="261">
        <f>'4. PEI'!J21</f>
        <v>0</v>
      </c>
      <c r="F34" s="261">
        <f>'5. INN'!J22</f>
        <v>0</v>
      </c>
      <c r="G34" s="261">
        <f>'6. WET'!J20</f>
        <v>0</v>
      </c>
      <c r="H34" s="261">
        <f>'7. CFTN'!J21</f>
        <v>0</v>
      </c>
      <c r="I34" s="7"/>
      <c r="J34" s="261">
        <f>'8. WET RP, HP'!I14</f>
        <v>0</v>
      </c>
      <c r="K34" s="261">
        <f>'4. PEI'!J17</f>
        <v>0</v>
      </c>
      <c r="L34" s="261">
        <f>'8. WET RP, HP'!I15</f>
        <v>0</v>
      </c>
      <c r="M34" s="327"/>
      <c r="N34" s="264">
        <f t="shared" si="1"/>
        <v>83227</v>
      </c>
    </row>
    <row r="35" spans="2:14" ht="24" customHeight="1">
      <c r="B35" s="24">
        <v>13</v>
      </c>
      <c r="C35" s="266" t="s">
        <v>25</v>
      </c>
      <c r="D35" s="267">
        <f>SUM(D30:D34)</f>
        <v>8714521.84</v>
      </c>
      <c r="E35" s="267">
        <f aca="true" t="shared" si="2" ref="E35:L35">SUM(E30:E34)</f>
        <v>1592804.96</v>
      </c>
      <c r="F35" s="267">
        <f t="shared" si="2"/>
        <v>575732.46</v>
      </c>
      <c r="G35" s="267">
        <f t="shared" si="2"/>
        <v>307212.42000000004</v>
      </c>
      <c r="H35" s="267">
        <f t="shared" si="2"/>
        <v>358375.68999999994</v>
      </c>
      <c r="I35" s="267">
        <f t="shared" si="2"/>
        <v>0</v>
      </c>
      <c r="J35" s="267">
        <f t="shared" si="2"/>
        <v>0</v>
      </c>
      <c r="K35" s="267">
        <f t="shared" si="2"/>
        <v>0</v>
      </c>
      <c r="L35" s="267">
        <f t="shared" si="2"/>
        <v>0</v>
      </c>
      <c r="M35" s="7"/>
      <c r="N35" s="339">
        <f t="shared" si="1"/>
        <v>11548647.370000001</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71560.37700000001</v>
      </c>
      <c r="F39" s="90"/>
      <c r="G39" s="260"/>
      <c r="H39" s="260"/>
      <c r="I39" s="260"/>
      <c r="J39" s="260"/>
      <c r="K39" s="260"/>
      <c r="L39" s="260"/>
      <c r="M39" s="260"/>
      <c r="N39" s="347"/>
    </row>
    <row r="40" spans="2:14" ht="15">
      <c r="B40" s="24">
        <v>15</v>
      </c>
      <c r="C40" s="358" t="s">
        <v>23</v>
      </c>
      <c r="D40" s="366">
        <f>'3. CSS'!K15+'4. PEI'!K15+'5. INN'!K19+'6. WET'!K15+'7. CFTN'!K16+'7. CFTN'!K17</f>
        <v>115482.23999999999</v>
      </c>
      <c r="E40" s="263"/>
      <c r="F40" s="260"/>
      <c r="G40" s="260"/>
      <c r="H40" s="260"/>
      <c r="I40" s="260"/>
      <c r="J40" s="260"/>
      <c r="K40" s="260"/>
      <c r="L40" s="260"/>
      <c r="M40" s="260"/>
      <c r="N40" s="347"/>
    </row>
    <row r="41" spans="2:14" ht="15">
      <c r="B41" s="24">
        <v>16</v>
      </c>
      <c r="C41" s="358" t="s">
        <v>24</v>
      </c>
      <c r="D41" s="366">
        <f>'3. CSS'!K16+'4. PEI'!K16+'5. INN'!K15+'5. INN'!K18+'6. WET'!K16+'7. CFTN'!K18+'7. CFTN'!K19</f>
        <v>1512747.0229999998</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0.59" bottom="0.57" header="0.3" footer="0.3"/>
  <pageSetup fitToHeight="0" fitToWidth="0" horizontalDpi="600" verticalDpi="600" orientation="landscape" paperSize="5" scale="60"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60" zoomScaleNormal="60" zoomScaleSheetLayoutView="40" zoomScalePageLayoutView="70" workbookViewId="0" topLeftCell="A1">
      <selection activeCell="F38" sqref="F38"/>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2.4218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32"/>
      <c r="C1" s="432"/>
      <c r="D1" s="432"/>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3" t="s">
        <v>1</v>
      </c>
      <c r="C7" s="433"/>
      <c r="D7" s="9" t="str">
        <f>IF(ISBLANK('1. Information'!D8),"",'1. Information'!D8)</f>
        <v>Marin</v>
      </c>
      <c r="E7" s="281"/>
      <c r="F7" s="279" t="s">
        <v>2</v>
      </c>
      <c r="G7" s="282">
        <f>IF(ISBLANK('1. Information'!D7),"",'1. Information'!D7)</f>
        <v>43447</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3" t="s">
        <v>30</v>
      </c>
      <c r="H12" s="441"/>
      <c r="I12" s="441"/>
      <c r="J12" s="444"/>
      <c r="K12" s="303"/>
      <c r="L12"/>
    </row>
    <row r="13" spans="1:12" ht="31.5">
      <c r="A13" s="281"/>
      <c r="B13" s="40"/>
      <c r="F13" s="30" t="s">
        <v>300</v>
      </c>
      <c r="G13" s="27" t="s">
        <v>5</v>
      </c>
      <c r="H13" s="44" t="s">
        <v>6</v>
      </c>
      <c r="I13" s="27" t="s">
        <v>31</v>
      </c>
      <c r="J13" s="27" t="s">
        <v>15</v>
      </c>
      <c r="K13" s="302" t="s">
        <v>278</v>
      </c>
      <c r="L13"/>
    </row>
    <row r="14" spans="1:12" ht="15">
      <c r="A14" s="281"/>
      <c r="B14" s="277">
        <v>1</v>
      </c>
      <c r="C14" s="434" t="s">
        <v>7</v>
      </c>
      <c r="D14" s="434"/>
      <c r="E14" s="434"/>
      <c r="F14" s="367">
        <f>126204.49*0.3+110249.8*0.3</f>
        <v>70936.28700000001</v>
      </c>
      <c r="G14" s="368"/>
      <c r="H14" s="353"/>
      <c r="I14" s="290"/>
      <c r="J14" s="290"/>
      <c r="K14" s="292">
        <f>SUM(F14:J14)</f>
        <v>70936.28700000001</v>
      </c>
      <c r="L14"/>
    </row>
    <row r="15" spans="1:12" ht="15" customHeight="1">
      <c r="A15" s="281"/>
      <c r="B15" s="277">
        <v>2</v>
      </c>
      <c r="C15" s="434" t="s">
        <v>8</v>
      </c>
      <c r="D15" s="434"/>
      <c r="E15" s="434"/>
      <c r="F15" s="367">
        <v>41047.96</v>
      </c>
      <c r="G15" s="290"/>
      <c r="H15" s="290"/>
      <c r="I15" s="290"/>
      <c r="J15" s="290"/>
      <c r="K15" s="292">
        <f aca="true" t="shared" si="0" ref="K15:K23">SUM(F15:J15)</f>
        <v>41047.96</v>
      </c>
      <c r="L15"/>
    </row>
    <row r="16" spans="1:12" ht="15">
      <c r="A16" s="281"/>
      <c r="B16" s="277">
        <v>3</v>
      </c>
      <c r="C16" s="434" t="s">
        <v>129</v>
      </c>
      <c r="D16" s="434"/>
      <c r="E16" s="434"/>
      <c r="F16" s="367">
        <f>126204.49*0.7+110249.8*0.7+933808.21</f>
        <v>1099326.213</v>
      </c>
      <c r="G16" s="290"/>
      <c r="H16" s="290"/>
      <c r="I16" s="290"/>
      <c r="J16" s="290"/>
      <c r="K16" s="292">
        <f t="shared" si="0"/>
        <v>1099326.213</v>
      </c>
      <c r="L16"/>
    </row>
    <row r="17" spans="1:12" ht="15">
      <c r="A17" s="281"/>
      <c r="B17" s="277">
        <v>4</v>
      </c>
      <c r="C17" s="448" t="s">
        <v>218</v>
      </c>
      <c r="D17" s="448"/>
      <c r="E17" s="448"/>
      <c r="F17" s="367"/>
      <c r="G17" s="290"/>
      <c r="H17" s="290"/>
      <c r="I17" s="290"/>
      <c r="J17" s="290"/>
      <c r="K17" s="292">
        <f t="shared" si="0"/>
        <v>0</v>
      </c>
      <c r="L17"/>
    </row>
    <row r="18" spans="1:12" ht="15">
      <c r="A18" s="281"/>
      <c r="B18" s="277">
        <v>5</v>
      </c>
      <c r="C18" s="448" t="s">
        <v>219</v>
      </c>
      <c r="D18" s="448"/>
      <c r="E18" s="448"/>
      <c r="F18" s="367"/>
      <c r="G18" s="294"/>
      <c r="H18" s="294"/>
      <c r="I18" s="294"/>
      <c r="J18" s="294"/>
      <c r="K18" s="292">
        <f t="shared" si="0"/>
        <v>0</v>
      </c>
      <c r="L18"/>
    </row>
    <row r="19" spans="1:12" ht="15">
      <c r="A19" s="281"/>
      <c r="B19" s="277">
        <v>6</v>
      </c>
      <c r="C19" s="434" t="s">
        <v>216</v>
      </c>
      <c r="D19" s="434"/>
      <c r="E19" s="434"/>
      <c r="F19" s="290"/>
      <c r="G19" s="294"/>
      <c r="H19" s="294"/>
      <c r="I19" s="294"/>
      <c r="J19" s="294"/>
      <c r="K19" s="293">
        <f t="shared" si="0"/>
        <v>0</v>
      </c>
      <c r="L19"/>
    </row>
    <row r="20" spans="1:12" ht="15">
      <c r="A20" s="283"/>
      <c r="B20" s="256">
        <v>7</v>
      </c>
      <c r="C20" s="445" t="s">
        <v>226</v>
      </c>
      <c r="D20" s="446"/>
      <c r="E20" s="447"/>
      <c r="F20" s="290">
        <f>1000000</f>
        <v>1000000</v>
      </c>
      <c r="G20" s="293"/>
      <c r="H20" s="293"/>
      <c r="I20" s="293"/>
      <c r="J20" s="293"/>
      <c r="K20" s="293">
        <f t="shared" si="0"/>
        <v>1000000</v>
      </c>
      <c r="L20"/>
    </row>
    <row r="21" spans="1:12" ht="15">
      <c r="A21" s="283"/>
      <c r="B21" s="256">
        <v>8</v>
      </c>
      <c r="C21" s="445" t="s">
        <v>227</v>
      </c>
      <c r="D21" s="446"/>
      <c r="E21" s="447"/>
      <c r="F21" s="290">
        <f>500000</f>
        <v>500000</v>
      </c>
      <c r="G21" s="293"/>
      <c r="H21" s="293"/>
      <c r="I21" s="293"/>
      <c r="J21" s="293"/>
      <c r="K21" s="293">
        <f t="shared" si="0"/>
        <v>500000</v>
      </c>
      <c r="L21"/>
    </row>
    <row r="22" spans="1:12" ht="15">
      <c r="A22" s="283"/>
      <c r="B22" s="256">
        <v>9</v>
      </c>
      <c r="C22" s="445" t="s">
        <v>225</v>
      </c>
      <c r="D22" s="446"/>
      <c r="E22" s="447"/>
      <c r="F22" s="290"/>
      <c r="G22" s="293"/>
      <c r="H22" s="293"/>
      <c r="I22" s="293"/>
      <c r="J22" s="293"/>
      <c r="K22" s="293">
        <f t="shared" si="0"/>
        <v>0</v>
      </c>
      <c r="L22"/>
    </row>
    <row r="23" spans="1:12" ht="15">
      <c r="A23" s="281"/>
      <c r="B23" s="277">
        <v>10</v>
      </c>
      <c r="C23" s="434" t="s">
        <v>140</v>
      </c>
      <c r="D23" s="434"/>
      <c r="E23" s="434"/>
      <c r="F23" s="294">
        <f>SUM(G33:G132)</f>
        <v>4662663.04</v>
      </c>
      <c r="G23" s="293">
        <f>SUM(H33:H132)</f>
        <v>2757321.34</v>
      </c>
      <c r="H23" s="293">
        <f>SUM(I33:I132)</f>
        <v>0</v>
      </c>
      <c r="I23" s="293">
        <f>SUM(J33:J132)</f>
        <v>0</v>
      </c>
      <c r="J23" s="293">
        <f>SUM(K33:K132)</f>
        <v>83227</v>
      </c>
      <c r="K23" s="293">
        <f t="shared" si="0"/>
        <v>7503211.38</v>
      </c>
      <c r="L23"/>
    </row>
    <row r="24" spans="1:12" ht="30.95" customHeight="1">
      <c r="A24" s="281"/>
      <c r="B24" s="277">
        <v>11</v>
      </c>
      <c r="C24" s="435" t="s">
        <v>223</v>
      </c>
      <c r="D24" s="436"/>
      <c r="E24" s="437"/>
      <c r="F24" s="7">
        <f>SUM(F14:F16,F18:F23)</f>
        <v>7373973.5</v>
      </c>
      <c r="G24" s="7">
        <f>SUM(G14:G16,G18:G23)</f>
        <v>2757321.34</v>
      </c>
      <c r="H24" s="43">
        <f aca="true" t="shared" si="1" ref="H24:J24">SUM(H14:H16,H18:H23)</f>
        <v>0</v>
      </c>
      <c r="I24" s="7">
        <f t="shared" si="1"/>
        <v>0</v>
      </c>
      <c r="J24" s="7">
        <f t="shared" si="1"/>
        <v>83227</v>
      </c>
      <c r="K24" s="7">
        <f>SUM(K14:K16,K18:K23)</f>
        <v>10214521.84</v>
      </c>
      <c r="L24"/>
    </row>
    <row r="25" spans="1:11" s="325" customFormat="1" ht="30.95" customHeight="1">
      <c r="A25" s="281"/>
      <c r="B25" s="277">
        <v>12</v>
      </c>
      <c r="C25" s="442" t="s">
        <v>283</v>
      </c>
      <c r="D25" s="442"/>
      <c r="E25" s="442"/>
      <c r="F25" s="7">
        <f>SUM(F14:F16,F18,F23)</f>
        <v>5873973.5</v>
      </c>
      <c r="G25" s="299">
        <f aca="true" t="shared" si="2" ref="G25:J25">SUM(G14:G16,G18,G23)</f>
        <v>2757321.34</v>
      </c>
      <c r="H25" s="299">
        <f t="shared" si="2"/>
        <v>0</v>
      </c>
      <c r="I25" s="299">
        <f t="shared" si="2"/>
        <v>0</v>
      </c>
      <c r="J25" s="7">
        <f t="shared" si="2"/>
        <v>83227</v>
      </c>
      <c r="K25" s="7">
        <f>SUM(K14:K16,K18,K23)</f>
        <v>8714521.84</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41" t="s">
        <v>166</v>
      </c>
      <c r="E31" s="441"/>
      <c r="F31" s="441"/>
      <c r="G31" s="344" t="s">
        <v>28</v>
      </c>
      <c r="H31" s="438" t="s">
        <v>30</v>
      </c>
      <c r="I31" s="439"/>
      <c r="J31" s="439"/>
      <c r="K31" s="440"/>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21</v>
      </c>
      <c r="D33" s="416" t="s">
        <v>329</v>
      </c>
      <c r="E33" s="395"/>
      <c r="F33" s="297" t="s">
        <v>102</v>
      </c>
      <c r="G33" s="291">
        <f>793287.19-H33</f>
        <v>335900.27999999997</v>
      </c>
      <c r="H33" s="291">
        <v>457386.91</v>
      </c>
      <c r="I33" s="291"/>
      <c r="J33" s="318"/>
      <c r="K33" s="291"/>
      <c r="L33" s="293">
        <f>SUM(G33:K33)</f>
        <v>793287.19</v>
      </c>
    </row>
    <row r="34" spans="1:12" s="359" customFormat="1" ht="15">
      <c r="A34" s="281"/>
      <c r="B34" s="295">
        <v>2</v>
      </c>
      <c r="C34" s="296">
        <f t="shared" si="3"/>
        <v>21</v>
      </c>
      <c r="D34" s="417" t="s">
        <v>330</v>
      </c>
      <c r="E34" s="395"/>
      <c r="F34" s="297" t="s">
        <v>102</v>
      </c>
      <c r="G34" s="291">
        <f>638898.71-H34</f>
        <v>530475.2999999999</v>
      </c>
      <c r="H34" s="291">
        <v>108423.41</v>
      </c>
      <c r="I34" s="291"/>
      <c r="J34" s="318"/>
      <c r="K34" s="291"/>
      <c r="L34" s="293">
        <f aca="true" t="shared" si="4" ref="L34:L97">SUM(G34:K34)</f>
        <v>638898.71</v>
      </c>
    </row>
    <row r="35" spans="1:12" s="359" customFormat="1" ht="15">
      <c r="A35" s="281"/>
      <c r="B35" s="295">
        <v>3</v>
      </c>
      <c r="C35" s="296">
        <f t="shared" si="3"/>
        <v>21</v>
      </c>
      <c r="D35" s="417" t="s">
        <v>331</v>
      </c>
      <c r="E35" s="395"/>
      <c r="F35" s="297" t="s">
        <v>102</v>
      </c>
      <c r="G35" s="291">
        <f>435597.17-H35</f>
        <v>415024.95999999996</v>
      </c>
      <c r="H35" s="291">
        <v>20572.21</v>
      </c>
      <c r="I35" s="291"/>
      <c r="J35" s="318"/>
      <c r="K35" s="291"/>
      <c r="L35" s="293">
        <f t="shared" si="4"/>
        <v>435597.17</v>
      </c>
    </row>
    <row r="36" spans="1:12" s="359" customFormat="1" ht="15">
      <c r="A36" s="281"/>
      <c r="B36" s="295">
        <v>4</v>
      </c>
      <c r="C36" s="296">
        <f t="shared" si="3"/>
        <v>21</v>
      </c>
      <c r="D36" s="417" t="s">
        <v>332</v>
      </c>
      <c r="E36" s="395"/>
      <c r="F36" s="297" t="s">
        <v>102</v>
      </c>
      <c r="G36" s="291">
        <f>794564.72-H36</f>
        <v>355129.22</v>
      </c>
      <c r="H36" s="291">
        <v>439435.5</v>
      </c>
      <c r="I36" s="291"/>
      <c r="J36" s="318"/>
      <c r="K36" s="291"/>
      <c r="L36" s="293">
        <f t="shared" si="4"/>
        <v>794564.72</v>
      </c>
    </row>
    <row r="37" spans="1:12" s="359" customFormat="1" ht="15">
      <c r="A37" s="281"/>
      <c r="B37" s="295">
        <v>5</v>
      </c>
      <c r="C37" s="296">
        <f t="shared" si="3"/>
        <v>21</v>
      </c>
      <c r="D37" s="417" t="s">
        <v>333</v>
      </c>
      <c r="E37" s="395"/>
      <c r="F37" s="297" t="s">
        <v>102</v>
      </c>
      <c r="G37" s="291">
        <f>2358371.85-H37-K37</f>
        <v>1713087.42</v>
      </c>
      <c r="H37" s="291">
        <f>590401.43+48860+6023-48860-6023</f>
        <v>590401.43</v>
      </c>
      <c r="I37" s="291"/>
      <c r="J37" s="318"/>
      <c r="K37" s="291">
        <f>48860+6023</f>
        <v>54883</v>
      </c>
      <c r="L37" s="293">
        <f t="shared" si="4"/>
        <v>2358371.85</v>
      </c>
    </row>
    <row r="38" spans="1:12" s="359" customFormat="1" ht="15">
      <c r="A38" s="281"/>
      <c r="B38" s="295">
        <v>6</v>
      </c>
      <c r="C38" s="296">
        <f t="shared" si="3"/>
        <v>21</v>
      </c>
      <c r="D38" s="417" t="s">
        <v>334</v>
      </c>
      <c r="E38" s="395"/>
      <c r="F38" s="297" t="s">
        <v>102</v>
      </c>
      <c r="G38" s="291">
        <f>107909.75-H38</f>
        <v>107909.75</v>
      </c>
      <c r="H38" s="291"/>
      <c r="I38" s="291"/>
      <c r="J38" s="318"/>
      <c r="K38" s="291"/>
      <c r="L38" s="293">
        <f t="shared" si="4"/>
        <v>107909.75</v>
      </c>
    </row>
    <row r="39" spans="1:12" s="359" customFormat="1" ht="15">
      <c r="A39" s="281"/>
      <c r="B39" s="295">
        <v>7</v>
      </c>
      <c r="C39" s="296">
        <f t="shared" si="3"/>
        <v>21</v>
      </c>
      <c r="D39" s="417" t="s">
        <v>335</v>
      </c>
      <c r="E39" s="395"/>
      <c r="F39" s="297" t="s">
        <v>103</v>
      </c>
      <c r="G39" s="291">
        <f>314903.39-K39</f>
        <v>286559.39</v>
      </c>
      <c r="H39" s="291"/>
      <c r="I39" s="291"/>
      <c r="J39" s="318"/>
      <c r="K39" s="291">
        <f>28344</f>
        <v>28344</v>
      </c>
      <c r="L39" s="293">
        <f t="shared" si="4"/>
        <v>314903.39</v>
      </c>
    </row>
    <row r="40" spans="1:12" s="359" customFormat="1" ht="15">
      <c r="A40" s="281"/>
      <c r="B40" s="295">
        <v>8</v>
      </c>
      <c r="C40" s="296">
        <f t="shared" si="3"/>
        <v>21</v>
      </c>
      <c r="D40" s="417" t="s">
        <v>336</v>
      </c>
      <c r="E40" s="395"/>
      <c r="F40" s="297" t="s">
        <v>103</v>
      </c>
      <c r="G40" s="291">
        <f>594773.7-H40</f>
        <v>451611.81999999995</v>
      </c>
      <c r="H40" s="291">
        <v>143161.88</v>
      </c>
      <c r="I40" s="291"/>
      <c r="J40" s="318"/>
      <c r="K40" s="291"/>
      <c r="L40" s="293">
        <f t="shared" si="4"/>
        <v>594773.7</v>
      </c>
    </row>
    <row r="41" spans="1:12" s="359" customFormat="1" ht="15">
      <c r="A41" s="281"/>
      <c r="B41" s="295">
        <v>9</v>
      </c>
      <c r="C41" s="296">
        <f t="shared" si="3"/>
        <v>21</v>
      </c>
      <c r="D41" s="417" t="s">
        <v>337</v>
      </c>
      <c r="E41" s="395"/>
      <c r="F41" s="297" t="s">
        <v>103</v>
      </c>
      <c r="G41" s="291">
        <f>82999.75-H41</f>
        <v>82999.75</v>
      </c>
      <c r="H41" s="291"/>
      <c r="I41" s="291"/>
      <c r="J41" s="318"/>
      <c r="K41" s="291"/>
      <c r="L41" s="293">
        <f t="shared" si="4"/>
        <v>82999.75</v>
      </c>
    </row>
    <row r="42" spans="1:12" s="359" customFormat="1" ht="15">
      <c r="A42" s="281"/>
      <c r="B42" s="295">
        <v>10</v>
      </c>
      <c r="C42" s="296">
        <f t="shared" si="3"/>
        <v>21</v>
      </c>
      <c r="D42" s="417" t="s">
        <v>338</v>
      </c>
      <c r="E42" s="395"/>
      <c r="F42" s="297" t="s">
        <v>103</v>
      </c>
      <c r="G42" s="291">
        <f>1085463.5-H42</f>
        <v>87523.5</v>
      </c>
      <c r="H42" s="291">
        <v>997940</v>
      </c>
      <c r="I42" s="291"/>
      <c r="J42" s="318"/>
      <c r="K42" s="291"/>
      <c r="L42" s="293">
        <f t="shared" si="4"/>
        <v>1085463.5</v>
      </c>
    </row>
    <row r="43" spans="1:12" s="359" customFormat="1" ht="15">
      <c r="A43" s="281"/>
      <c r="B43" s="295">
        <v>11</v>
      </c>
      <c r="C43" s="296">
        <f t="shared" si="3"/>
        <v>21</v>
      </c>
      <c r="D43" s="417" t="s">
        <v>339</v>
      </c>
      <c r="E43" s="395"/>
      <c r="F43" s="297" t="s">
        <v>103</v>
      </c>
      <c r="G43" s="291">
        <v>5196.83</v>
      </c>
      <c r="H43" s="291"/>
      <c r="I43" s="291"/>
      <c r="J43" s="318"/>
      <c r="K43" s="291"/>
      <c r="L43" s="293">
        <f t="shared" si="4"/>
        <v>5196.83</v>
      </c>
    </row>
    <row r="44" spans="1:12" s="359" customFormat="1" ht="15">
      <c r="A44" s="281"/>
      <c r="B44" s="295">
        <v>12</v>
      </c>
      <c r="C44" s="296">
        <f t="shared" si="3"/>
        <v>21</v>
      </c>
      <c r="D44" s="417" t="s">
        <v>340</v>
      </c>
      <c r="E44" s="395"/>
      <c r="F44" s="297" t="s">
        <v>103</v>
      </c>
      <c r="G44" s="291">
        <v>291244.82</v>
      </c>
      <c r="H44" s="291"/>
      <c r="I44" s="291"/>
      <c r="J44" s="318"/>
      <c r="K44" s="291"/>
      <c r="L44" s="293">
        <f t="shared" si="4"/>
        <v>291244.82</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60" r:id="rId1"/>
  <headerFooter>
    <oddFooter>&amp;C&amp;"Arial,Regular"&amp;16Page &amp;P of &amp;N</oddFooter>
  </headerFooter>
  <rowBreaks count="2" manualBreakCount="2">
    <brk id="61"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57" zoomScaleNormal="57" zoomScaleSheetLayoutView="80" zoomScalePageLayoutView="80" workbookViewId="0" topLeftCell="A6">
      <selection activeCell="D44" sqref="D44"/>
    </sheetView>
  </sheetViews>
  <sheetFormatPr defaultColWidth="0" defaultRowHeight="15" zeroHeight="1"/>
  <cols>
    <col min="1" max="1" width="2.7109375" style="108" customWidth="1"/>
    <col min="2" max="2" width="6.7109375" style="108" customWidth="1"/>
    <col min="3" max="3" width="15.28125" style="135" customWidth="1"/>
    <col min="4" max="4" width="65.8515625" style="108" customWidth="1"/>
    <col min="5" max="5" width="9.57421875" style="108" customWidth="1"/>
    <col min="6" max="7" width="26.00390625" style="108" bestFit="1" customWidth="1"/>
    <col min="8" max="8" width="11.7109375" style="108" customWidth="1"/>
    <col min="9" max="9" width="10.8515625" style="108" customWidth="1"/>
    <col min="10" max="10" width="14.28125" style="108" customWidth="1"/>
    <col min="11" max="11" width="19.8515625" style="108" customWidth="1"/>
    <col min="12" max="12" width="21.8515625" style="108" customWidth="1"/>
    <col min="13" max="13" width="7.421875" style="108" customWidth="1"/>
    <col min="14" max="14" width="10.8515625" style="108" customWidth="1"/>
    <col min="15" max="15" width="10.140625" style="108" customWidth="1"/>
    <col min="16" max="16" width="12.85156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3" t="s">
        <v>1</v>
      </c>
      <c r="C7" s="444"/>
      <c r="D7" s="9" t="str">
        <f>IF(ISBLANK('1. Information'!D8),"",'1. Information'!D8)</f>
        <v>Marin</v>
      </c>
      <c r="F7" s="94" t="s">
        <v>2</v>
      </c>
      <c r="G7" s="109">
        <f>IF(ISBLANK('1. Information'!D7),"",'1. Information'!D7)</f>
        <v>43447</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3" t="s">
        <v>30</v>
      </c>
      <c r="H12" s="441"/>
      <c r="I12" s="441"/>
      <c r="J12" s="444"/>
      <c r="K12" s="303"/>
      <c r="L12"/>
      <c r="M12"/>
      <c r="N12"/>
      <c r="O12"/>
      <c r="P12"/>
      <c r="Q12"/>
      <c r="AL12" s="108"/>
      <c r="AM12" s="108"/>
      <c r="AN12" s="108"/>
    </row>
    <row r="13" spans="3:40" ht="47.25" customHeight="1">
      <c r="C13" s="452"/>
      <c r="D13" s="452"/>
      <c r="E13" s="452"/>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8" t="s">
        <v>3</v>
      </c>
      <c r="D14" s="448"/>
      <c r="E14" s="445"/>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8" t="s">
        <v>133</v>
      </c>
      <c r="D15" s="448"/>
      <c r="E15" s="445"/>
      <c r="F15" s="291">
        <f>17546.78-17546.78</f>
        <v>0</v>
      </c>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3" t="s">
        <v>149</v>
      </c>
      <c r="D16" s="453"/>
      <c r="E16" s="454"/>
      <c r="F16" s="388">
        <f>164865.68+58489.26+39431.67</f>
        <v>262786.61</v>
      </c>
      <c r="G16" s="387"/>
      <c r="H16" s="387"/>
      <c r="I16" s="387"/>
      <c r="J16" s="387"/>
      <c r="K16" s="292">
        <f t="shared" si="0"/>
        <v>262786.61</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8" t="s">
        <v>228</v>
      </c>
      <c r="D17" s="448"/>
      <c r="E17" s="445"/>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8" t="s">
        <v>215</v>
      </c>
      <c r="D18" s="448"/>
      <c r="E18" s="445"/>
      <c r="F18" s="389">
        <f>80986+2833</f>
        <v>83819</v>
      </c>
      <c r="G18" s="403"/>
      <c r="H18" s="403"/>
      <c r="I18" s="403"/>
      <c r="J18" s="403"/>
      <c r="K18" s="292">
        <f t="shared" si="0"/>
        <v>83819</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8" t="s">
        <v>217</v>
      </c>
      <c r="D19" s="448"/>
      <c r="E19" s="445"/>
      <c r="F19" s="422">
        <v>83819</v>
      </c>
      <c r="G19" s="403"/>
      <c r="H19" s="403"/>
      <c r="I19" s="403"/>
      <c r="J19" s="403"/>
      <c r="K19" s="292">
        <f t="shared" si="0"/>
        <v>83819</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4" t="s">
        <v>150</v>
      </c>
      <c r="D20" s="434"/>
      <c r="E20" s="434"/>
      <c r="F20" s="315">
        <f>SUMIF($G$36:$G$135,"Combined Summary",L$36:L$135)+SUMIF($F$36:$F$135,"Standalone",L$36:L$135)</f>
        <v>1246199.35</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1246199.35</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8" t="s">
        <v>229</v>
      </c>
      <c r="D21" s="458"/>
      <c r="E21" s="458"/>
      <c r="F21" s="8">
        <f>SUM(F14:F16,F19:F20)</f>
        <v>1592804.96</v>
      </c>
      <c r="G21" s="8">
        <f aca="true" t="shared" si="1" ref="G21:K21">SUM(G14:G16,G19:G20)</f>
        <v>0</v>
      </c>
      <c r="H21" s="8">
        <f t="shared" si="1"/>
        <v>0</v>
      </c>
      <c r="I21" s="8">
        <f t="shared" si="1"/>
        <v>0</v>
      </c>
      <c r="J21" s="8">
        <f t="shared" si="1"/>
        <v>0</v>
      </c>
      <c r="K21" s="8">
        <f t="shared" si="1"/>
        <v>1592804.96</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7" t="s">
        <v>234</v>
      </c>
      <c r="G26" s="455" t="s">
        <v>233</v>
      </c>
      <c r="H26" s="110"/>
      <c r="I26" s="110"/>
      <c r="J26" s="110"/>
      <c r="K26" s="110"/>
      <c r="L26" s="110"/>
      <c r="M26" s="110"/>
      <c r="N26" s="110"/>
      <c r="O26" s="110"/>
      <c r="P26" s="110"/>
      <c r="Q26" s="110"/>
    </row>
    <row r="27" spans="2:17" ht="15" customHeight="1">
      <c r="B27" s="99"/>
      <c r="C27" s="99"/>
      <c r="D27" s="99"/>
      <c r="E27" s="99"/>
      <c r="F27" s="457"/>
      <c r="G27" s="455"/>
      <c r="H27" s="110"/>
      <c r="I27" s="110"/>
      <c r="J27" s="110"/>
      <c r="K27" s="110"/>
      <c r="L27" s="110"/>
      <c r="M27" s="110"/>
      <c r="N27" s="110"/>
      <c r="O27" s="110"/>
      <c r="P27" s="110"/>
      <c r="Q27" s="110"/>
    </row>
    <row r="28" spans="2:17" ht="15">
      <c r="B28" s="99"/>
      <c r="C28" s="99"/>
      <c r="D28" s="99"/>
      <c r="E28" s="99"/>
      <c r="F28" s="457"/>
      <c r="G28" s="456"/>
      <c r="H28" s="110"/>
      <c r="I28" s="110"/>
      <c r="J28" s="110"/>
      <c r="K28" s="110"/>
      <c r="L28" s="110"/>
      <c r="M28" s="110"/>
      <c r="N28" s="110"/>
      <c r="O28" s="110"/>
      <c r="P28" s="110"/>
      <c r="Q28" s="110"/>
    </row>
    <row r="29" spans="2:17" ht="51.75" customHeight="1">
      <c r="B29" s="130">
        <v>1</v>
      </c>
      <c r="C29" s="449" t="s">
        <v>245</v>
      </c>
      <c r="D29" s="450"/>
      <c r="E29" s="451"/>
      <c r="F29" s="10">
        <f>IF(F21=0,"",((SUMPRODUCT($K$36:$K$135,$L$36:$L$135)+(F19*G29))/$F$21))</f>
        <v>0.44493824454188036</v>
      </c>
      <c r="G29" s="79">
        <v>0.35</v>
      </c>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41" t="s">
        <v>165</v>
      </c>
      <c r="E34" s="441"/>
      <c r="F34" s="441"/>
      <c r="G34" s="441"/>
      <c r="H34" s="441"/>
      <c r="I34" s="441"/>
      <c r="J34" s="441"/>
      <c r="K34" s="441"/>
      <c r="L34" s="340" t="s">
        <v>28</v>
      </c>
      <c r="M34" s="443" t="s">
        <v>30</v>
      </c>
      <c r="N34" s="441"/>
      <c r="O34" s="441"/>
      <c r="P34" s="444"/>
      <c r="Q34" s="308"/>
      <c r="AL34" s="108"/>
      <c r="AM34" s="108"/>
      <c r="AN34" s="108"/>
    </row>
    <row r="35" spans="2:37" s="131" customFormat="1" ht="172.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21</v>
      </c>
      <c r="D36" s="337" t="s">
        <v>346</v>
      </c>
      <c r="E36" s="395"/>
      <c r="F36" s="416" t="s">
        <v>143</v>
      </c>
      <c r="G36" s="417" t="s">
        <v>136</v>
      </c>
      <c r="H36" s="125"/>
      <c r="I36" s="134">
        <v>1</v>
      </c>
      <c r="J36" s="134">
        <v>1</v>
      </c>
      <c r="K36" s="350">
        <f>IF(OR(G36="Combined Summary",F36="Standalone"),(SUMPRODUCT(--(D$36:D$135=D36),I$36:I$135,J$36:J$135)),"")</f>
        <v>1</v>
      </c>
      <c r="L36" s="291">
        <v>230000</v>
      </c>
      <c r="M36" s="352"/>
      <c r="N36" s="116"/>
      <c r="O36" s="116"/>
      <c r="P36" s="116"/>
      <c r="Q36" s="351">
        <f>SUM(L36:P36)</f>
        <v>230000</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21</v>
      </c>
      <c r="D37" s="337" t="s">
        <v>347</v>
      </c>
      <c r="E37" s="395"/>
      <c r="F37" s="416" t="s">
        <v>143</v>
      </c>
      <c r="G37" s="417" t="s">
        <v>137</v>
      </c>
      <c r="H37" s="125"/>
      <c r="I37" s="134">
        <v>1</v>
      </c>
      <c r="J37" s="134">
        <v>1</v>
      </c>
      <c r="K37" s="350">
        <f aca="true" t="shared" si="3" ref="K37:K100">IF(OR(G37="Combined Summary",F37="Standalone"),(SUMPRODUCT(--(D$36:D$135=D37),I$36:I$135,J$36:J$135)),"")</f>
        <v>1</v>
      </c>
      <c r="L37" s="291">
        <f>106500+86496</f>
        <v>192996</v>
      </c>
      <c r="M37" s="352"/>
      <c r="N37" s="116"/>
      <c r="O37" s="116"/>
      <c r="P37" s="116"/>
      <c r="Q37" s="351">
        <f aca="true" t="shared" si="4" ref="Q37:Q100">SUM(L37:P37)</f>
        <v>192996</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21</v>
      </c>
      <c r="D38" s="337" t="s">
        <v>348</v>
      </c>
      <c r="E38" s="395"/>
      <c r="F38" s="416" t="s">
        <v>143</v>
      </c>
      <c r="G38" s="417" t="s">
        <v>145</v>
      </c>
      <c r="H38" s="125"/>
      <c r="I38" s="134">
        <v>1</v>
      </c>
      <c r="J38" s="134">
        <v>0.14</v>
      </c>
      <c r="K38" s="350">
        <f t="shared" si="3"/>
        <v>0.14</v>
      </c>
      <c r="L38" s="291">
        <f>212941+28277+5112</f>
        <v>246330</v>
      </c>
      <c r="M38" s="352"/>
      <c r="N38" s="116"/>
      <c r="O38" s="116"/>
      <c r="P38" s="116"/>
      <c r="Q38" s="351">
        <f t="shared" si="4"/>
        <v>246330</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21</v>
      </c>
      <c r="D39" s="337" t="s">
        <v>349</v>
      </c>
      <c r="E39" s="395"/>
      <c r="F39" s="125" t="s">
        <v>143</v>
      </c>
      <c r="G39" s="107" t="s">
        <v>137</v>
      </c>
      <c r="H39" s="125"/>
      <c r="I39" s="134">
        <v>1</v>
      </c>
      <c r="J39" s="134">
        <v>0</v>
      </c>
      <c r="K39" s="350">
        <f t="shared" si="3"/>
        <v>0</v>
      </c>
      <c r="L39" s="291">
        <v>155735</v>
      </c>
      <c r="M39" s="352"/>
      <c r="N39" s="116"/>
      <c r="O39" s="116"/>
      <c r="P39" s="116"/>
      <c r="Q39" s="351">
        <f t="shared" si="4"/>
        <v>155735</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21</v>
      </c>
      <c r="D40" s="337" t="s">
        <v>350</v>
      </c>
      <c r="E40" s="395"/>
      <c r="F40" s="125" t="s">
        <v>143</v>
      </c>
      <c r="G40" s="107" t="s">
        <v>145</v>
      </c>
      <c r="H40" s="125"/>
      <c r="I40" s="134">
        <v>1</v>
      </c>
      <c r="J40" s="134">
        <v>0</v>
      </c>
      <c r="K40" s="350">
        <f t="shared" si="3"/>
        <v>0</v>
      </c>
      <c r="L40" s="291">
        <v>56000</v>
      </c>
      <c r="M40" s="352"/>
      <c r="N40" s="116"/>
      <c r="O40" s="116"/>
      <c r="P40" s="116"/>
      <c r="Q40" s="351">
        <f t="shared" si="4"/>
        <v>56000</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21</v>
      </c>
      <c r="D41" s="337" t="s">
        <v>351</v>
      </c>
      <c r="E41" s="395"/>
      <c r="F41" s="125" t="s">
        <v>143</v>
      </c>
      <c r="G41" s="107" t="s">
        <v>146</v>
      </c>
      <c r="H41" s="125"/>
      <c r="I41" s="134">
        <v>1</v>
      </c>
      <c r="J41" s="134">
        <v>0.22</v>
      </c>
      <c r="K41" s="350">
        <f t="shared" si="3"/>
        <v>0.22</v>
      </c>
      <c r="L41" s="291">
        <f>31644.74</f>
        <v>31644.74</v>
      </c>
      <c r="M41" s="352"/>
      <c r="N41" s="116"/>
      <c r="O41" s="116"/>
      <c r="P41" s="116"/>
      <c r="Q41" s="351">
        <f t="shared" si="4"/>
        <v>31644.74</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21</v>
      </c>
      <c r="D42" s="337" t="s">
        <v>352</v>
      </c>
      <c r="E42" s="395"/>
      <c r="F42" s="125" t="s">
        <v>143</v>
      </c>
      <c r="G42" s="107" t="s">
        <v>136</v>
      </c>
      <c r="H42" s="125"/>
      <c r="I42" s="134">
        <v>1</v>
      </c>
      <c r="J42" s="134">
        <v>1</v>
      </c>
      <c r="K42" s="350">
        <f t="shared" si="3"/>
        <v>1</v>
      </c>
      <c r="L42" s="291">
        <f>82509.32+104815.95</f>
        <v>187325.27000000002</v>
      </c>
      <c r="M42" s="352"/>
      <c r="N42" s="116"/>
      <c r="O42" s="116"/>
      <c r="P42" s="116"/>
      <c r="Q42" s="351">
        <f t="shared" si="4"/>
        <v>187325.27000000002</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21</v>
      </c>
      <c r="D43" s="337" t="s">
        <v>353</v>
      </c>
      <c r="E43" s="395"/>
      <c r="F43" s="125" t="s">
        <v>143</v>
      </c>
      <c r="G43" s="107" t="s">
        <v>132</v>
      </c>
      <c r="H43" s="125"/>
      <c r="I43" s="134">
        <v>1</v>
      </c>
      <c r="J43" s="134">
        <v>0</v>
      </c>
      <c r="K43" s="350">
        <f t="shared" si="3"/>
        <v>0</v>
      </c>
      <c r="L43" s="291">
        <f>31.92+31161.92</f>
        <v>31193.839999999997</v>
      </c>
      <c r="M43" s="352"/>
      <c r="N43" s="116"/>
      <c r="O43" s="116"/>
      <c r="P43" s="116"/>
      <c r="Q43" s="351">
        <f t="shared" si="4"/>
        <v>31193.839999999997</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f t="shared" si="2"/>
        <v>21</v>
      </c>
      <c r="D44" s="423" t="s">
        <v>354</v>
      </c>
      <c r="E44" s="395"/>
      <c r="F44" s="125" t="s">
        <v>143</v>
      </c>
      <c r="G44" s="107" t="s">
        <v>147</v>
      </c>
      <c r="H44" s="125"/>
      <c r="I44" s="134">
        <v>1</v>
      </c>
      <c r="J44" s="134">
        <v>0.24</v>
      </c>
      <c r="K44" s="350">
        <f t="shared" si="3"/>
        <v>0.24</v>
      </c>
      <c r="L44" s="291">
        <f>114964+10.5</f>
        <v>114974.5</v>
      </c>
      <c r="M44" s="352"/>
      <c r="N44" s="116"/>
      <c r="O44" s="116"/>
      <c r="P44" s="116"/>
      <c r="Q44" s="351">
        <f t="shared" si="4"/>
        <v>114974.5</v>
      </c>
      <c r="R44" s="409">
        <f t="shared" si="5"/>
        <v>1</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f t="shared" si="2"/>
        <v>21</v>
      </c>
      <c r="D45" s="395" t="s">
        <v>356</v>
      </c>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f t="shared" si="2"/>
        <v>21</v>
      </c>
      <c r="D46" s="395" t="s">
        <v>355</v>
      </c>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37"/>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37"/>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37"/>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37"/>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37"/>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22" bottom="0.42" header="0.2" footer="0.2"/>
  <pageSetup fitToHeight="0" fitToWidth="0" horizontalDpi="600" verticalDpi="600" orientation="landscape" paperSize="5" scale="6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view="pageBreakPreview" zoomScale="66" zoomScaleSheetLayoutView="66" workbookViewId="0" topLeftCell="A5">
      <selection activeCell="P41" sqref="B5:P41"/>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5" width="54.28125" style="110" customWidth="1"/>
    <col min="6" max="6" width="15.00390625" style="110" customWidth="1"/>
    <col min="7" max="7" width="13.8515625" style="110" customWidth="1"/>
    <col min="8" max="8" width="20.140625" style="110" customWidth="1"/>
    <col min="9" max="9" width="9.00390625" style="110" customWidth="1"/>
    <col min="10" max="10" width="24.421875" style="110" bestFit="1" customWidth="1"/>
    <col min="11" max="11" width="19.140625" style="110" customWidth="1"/>
    <col min="12" max="12" width="8.421875" style="110" customWidth="1"/>
    <col min="13" max="13" width="9.00390625" style="110" customWidth="1"/>
    <col min="14" max="14" width="10.140625" style="110" customWidth="1"/>
    <col min="15" max="15" width="9.140625" style="110" customWidth="1"/>
    <col min="16" max="16" width="17.421875" style="110" customWidth="1"/>
    <col min="17" max="17" width="21.140625" style="108" bestFit="1" customWidth="1"/>
    <col min="18" max="18" width="18.00390625" style="108" bestFit="1" customWidth="1"/>
    <col min="19" max="16384" width="9.140625" style="108" customWidth="1"/>
  </cols>
  <sheetData>
    <row r="1" spans="2:4" ht="15">
      <c r="B1" s="460"/>
      <c r="C1" s="460"/>
      <c r="D1" s="460"/>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3" t="s">
        <v>1</v>
      </c>
      <c r="C7" s="433"/>
      <c r="D7" s="9" t="str">
        <f>IF(ISBLANK('1. Information'!D8),"",'1. Information'!D8)</f>
        <v>Marin</v>
      </c>
      <c r="F7" s="94" t="s">
        <v>2</v>
      </c>
      <c r="G7" s="109">
        <f>IF(ISBLANK('1. Information'!D7),"",'1. Information'!D7)</f>
        <v>43447</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41" t="s">
        <v>30</v>
      </c>
      <c r="H12" s="441"/>
      <c r="I12" s="441"/>
      <c r="J12" s="444"/>
      <c r="K12" s="308"/>
      <c r="L12"/>
      <c r="M12"/>
      <c r="N12"/>
      <c r="O12" s="108"/>
      <c r="P12" s="108"/>
    </row>
    <row r="13" spans="2:16" ht="83.25" customHeight="1">
      <c r="B13" s="108"/>
      <c r="C13" s="462"/>
      <c r="D13" s="462"/>
      <c r="E13" s="462"/>
      <c r="F13" s="30" t="s">
        <v>300</v>
      </c>
      <c r="G13" s="44" t="s">
        <v>5</v>
      </c>
      <c r="H13" s="27" t="s">
        <v>6</v>
      </c>
      <c r="I13" s="27" t="s">
        <v>31</v>
      </c>
      <c r="J13" s="27" t="s">
        <v>15</v>
      </c>
      <c r="K13" s="306" t="s">
        <v>278</v>
      </c>
      <c r="L13"/>
      <c r="M13"/>
      <c r="N13"/>
      <c r="O13" s="108"/>
      <c r="P13" s="108"/>
    </row>
    <row r="14" spans="2:16" ht="15.75">
      <c r="B14" s="101">
        <v>1</v>
      </c>
      <c r="C14" s="448" t="s">
        <v>160</v>
      </c>
      <c r="D14" s="448"/>
      <c r="E14" s="448"/>
      <c r="F14" s="290">
        <v>624.09</v>
      </c>
      <c r="G14" s="45"/>
      <c r="H14" s="29"/>
      <c r="I14" s="29"/>
      <c r="J14" s="309"/>
      <c r="K14" s="293">
        <f>SUM(F14:J14)</f>
        <v>624.09</v>
      </c>
      <c r="L14"/>
      <c r="M14"/>
      <c r="N14"/>
      <c r="O14" s="108"/>
      <c r="P14" s="108"/>
    </row>
    <row r="15" spans="2:16" ht="15.75">
      <c r="B15" s="101">
        <v>2</v>
      </c>
      <c r="C15" s="448" t="s">
        <v>161</v>
      </c>
      <c r="D15" s="448"/>
      <c r="E15" s="448"/>
      <c r="F15" s="29">
        <v>59592.06</v>
      </c>
      <c r="G15" s="411"/>
      <c r="H15" s="412"/>
      <c r="I15" s="412"/>
      <c r="J15" s="413"/>
      <c r="K15" s="293">
        <f>SUM(F15:J15)</f>
        <v>59592.06</v>
      </c>
      <c r="L15"/>
      <c r="M15"/>
      <c r="N15"/>
      <c r="O15" s="108"/>
      <c r="P15" s="108"/>
    </row>
    <row r="16" spans="2:16" ht="15.75">
      <c r="B16" s="405">
        <v>3</v>
      </c>
      <c r="C16" s="445" t="s">
        <v>314</v>
      </c>
      <c r="D16" s="446"/>
      <c r="E16" s="447"/>
      <c r="F16" s="367"/>
      <c r="G16" s="19"/>
      <c r="H16" s="19"/>
      <c r="I16" s="19"/>
      <c r="J16" s="19"/>
      <c r="K16" s="293">
        <f>SUM(F16:J16)</f>
        <v>0</v>
      </c>
      <c r="L16" s="404"/>
      <c r="M16" s="404"/>
      <c r="N16" s="404"/>
      <c r="O16" s="108"/>
      <c r="P16" s="108"/>
    </row>
    <row r="17" spans="2:16" ht="15.75">
      <c r="B17" s="405">
        <v>4</v>
      </c>
      <c r="C17" s="445" t="s">
        <v>315</v>
      </c>
      <c r="D17" s="446"/>
      <c r="E17" s="447"/>
      <c r="F17" s="410"/>
      <c r="G17" s="19"/>
      <c r="H17" s="19"/>
      <c r="I17" s="19"/>
      <c r="J17" s="19"/>
      <c r="K17" s="293">
        <f>SUM(F17:J17)</f>
        <v>0</v>
      </c>
      <c r="L17" s="404"/>
      <c r="M17" s="404"/>
      <c r="N17" s="404"/>
      <c r="O17" s="108"/>
      <c r="P17" s="108"/>
    </row>
    <row r="18" spans="2:16" ht="15.75">
      <c r="B18" s="101">
        <v>5</v>
      </c>
      <c r="C18" s="448" t="s">
        <v>162</v>
      </c>
      <c r="D18" s="448"/>
      <c r="E18" s="448"/>
      <c r="F18" s="28">
        <f>SUMIF($J$29:$J$132,"Project Administration",K$29:K$132)</f>
        <v>17858.16</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17858.16</v>
      </c>
      <c r="L18"/>
      <c r="M18"/>
      <c r="N18"/>
      <c r="O18" s="108"/>
      <c r="P18" s="108"/>
    </row>
    <row r="19" spans="2:16" ht="15.75">
      <c r="B19" s="101">
        <v>6</v>
      </c>
      <c r="C19" s="448" t="s">
        <v>163</v>
      </c>
      <c r="D19" s="448"/>
      <c r="E19" s="448"/>
      <c r="F19" s="19">
        <f>SUMIF($J$29:$J$132,"Project Evaluation",K$29:K$132)</f>
        <v>74434.28</v>
      </c>
      <c r="G19" s="47">
        <f>SUMIF($J$29:$J$132,"Project Evaluation",L$29:L$132)</f>
        <v>0</v>
      </c>
      <c r="H19" s="19">
        <f>SUMIF($J$29:$J$132,"Project Evaluation",M$29:M$132)</f>
        <v>0</v>
      </c>
      <c r="I19" s="19">
        <f>SUMIF($J$29:$J$132,"Project Evaluation",N$29:N$132)</f>
        <v>0</v>
      </c>
      <c r="J19" s="19">
        <f>SUMIF($J$29:$J$132,"Project Evaluation",O$29:O$132)</f>
        <v>0</v>
      </c>
      <c r="K19" s="293">
        <f t="shared" si="0"/>
        <v>74434.28</v>
      </c>
      <c r="L19"/>
      <c r="M19"/>
      <c r="N19"/>
      <c r="O19" s="108"/>
      <c r="P19" s="108"/>
    </row>
    <row r="20" spans="2:16" ht="15.75">
      <c r="B20" s="101">
        <v>7</v>
      </c>
      <c r="C20" s="448" t="s">
        <v>236</v>
      </c>
      <c r="D20" s="448"/>
      <c r="E20" s="448"/>
      <c r="F20" s="19">
        <f>SUMIF($J$29:$J$132,"Project Direct",K$29:K$132)</f>
        <v>423223.87</v>
      </c>
      <c r="G20" s="47">
        <f>SUMIF($J$29:$J$132,"Project Direct",L$29:L$132)</f>
        <v>0</v>
      </c>
      <c r="H20" s="19">
        <f>SUMIF($J$29:$J$132,"Project Direct",M$29:M$132)</f>
        <v>0</v>
      </c>
      <c r="I20" s="19">
        <f>SUMIF($J$29:$J$132,"Project Direct",N$29:N$132)</f>
        <v>0</v>
      </c>
      <c r="J20" s="19">
        <f>SUMIF($J$29:$J$132,"Project Direct",O$29:O$132)</f>
        <v>0</v>
      </c>
      <c r="K20" s="293">
        <f t="shared" si="0"/>
        <v>423223.87</v>
      </c>
      <c r="L20"/>
      <c r="M20"/>
      <c r="N20"/>
      <c r="O20" s="108"/>
      <c r="P20" s="108"/>
    </row>
    <row r="21" spans="2:16" ht="15.75">
      <c r="B21" s="101">
        <v>8</v>
      </c>
      <c r="C21" s="461" t="s">
        <v>164</v>
      </c>
      <c r="D21" s="461"/>
      <c r="E21" s="461"/>
      <c r="F21" s="18">
        <f>SUM(F18:F20)</f>
        <v>515516.31</v>
      </c>
      <c r="G21" s="48">
        <f>SUM(G18:G20)</f>
        <v>0</v>
      </c>
      <c r="H21" s="18">
        <f>SUM(H18:H20)</f>
        <v>0</v>
      </c>
      <c r="I21" s="18">
        <f>SUM(I18:I20)</f>
        <v>0</v>
      </c>
      <c r="J21" s="18">
        <f aca="true" t="shared" si="1" ref="J21">SUM(J18:J20)</f>
        <v>0</v>
      </c>
      <c r="K21" s="18">
        <f aca="true" t="shared" si="2" ref="K21">SUM(K18:K20)</f>
        <v>515516.31</v>
      </c>
      <c r="L21"/>
      <c r="M21"/>
      <c r="N21"/>
      <c r="O21" s="108"/>
      <c r="P21" s="108"/>
    </row>
    <row r="22" spans="2:16" ht="30.95" customHeight="1">
      <c r="B22" s="101">
        <v>9</v>
      </c>
      <c r="C22" s="458" t="s">
        <v>316</v>
      </c>
      <c r="D22" s="458"/>
      <c r="E22" s="458"/>
      <c r="F22" s="20">
        <f aca="true" t="shared" si="3" ref="F22:K22">SUM(F14:F15,F17,F18:F20)</f>
        <v>575732.46</v>
      </c>
      <c r="G22" s="20">
        <f t="shared" si="3"/>
        <v>0</v>
      </c>
      <c r="H22" s="20">
        <f t="shared" si="3"/>
        <v>0</v>
      </c>
      <c r="I22" s="20">
        <f t="shared" si="3"/>
        <v>0</v>
      </c>
      <c r="J22" s="20">
        <f t="shared" si="3"/>
        <v>0</v>
      </c>
      <c r="K22" s="20">
        <f t="shared" si="3"/>
        <v>575732.46</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9" t="s">
        <v>167</v>
      </c>
      <c r="E27" s="459"/>
      <c r="F27" s="459"/>
      <c r="G27" s="459"/>
      <c r="H27" s="459"/>
      <c r="I27" s="459"/>
      <c r="J27" s="459"/>
      <c r="K27" s="340" t="s">
        <v>28</v>
      </c>
      <c r="L27" s="459" t="s">
        <v>30</v>
      </c>
      <c r="M27" s="459"/>
      <c r="N27" s="459"/>
      <c r="O27" s="459"/>
      <c r="P27" s="329"/>
    </row>
    <row r="28" spans="2:16" ht="95.25" customHeight="1">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21</v>
      </c>
      <c r="D29" s="421" t="s">
        <v>342</v>
      </c>
      <c r="E29" s="421" t="s">
        <v>342</v>
      </c>
      <c r="F29" s="138">
        <v>42488</v>
      </c>
      <c r="G29" s="421">
        <v>42552</v>
      </c>
      <c r="H29" s="116">
        <v>1616900</v>
      </c>
      <c r="I29" s="116"/>
      <c r="J29" s="118" t="s">
        <v>158</v>
      </c>
      <c r="K29" s="120">
        <f>17858.16</f>
        <v>17858.16</v>
      </c>
      <c r="L29" s="120"/>
      <c r="M29" s="116"/>
      <c r="N29" s="116"/>
      <c r="O29" s="129"/>
      <c r="P29" s="293">
        <f aca="true" t="shared" si="4" ref="P29:P64">SUM(K29:O29)</f>
        <v>17858.16</v>
      </c>
    </row>
    <row r="30" spans="2:16" ht="15">
      <c r="B30" s="123">
        <v>1</v>
      </c>
      <c r="C30" s="139">
        <f aca="true" t="shared" si="5" ref="C30:I31">IF(ISBLANK(C29),"",C29)</f>
        <v>21</v>
      </c>
      <c r="D30" s="397" t="str">
        <f t="shared" si="5"/>
        <v>Growing Roots Young Adult Services Project</v>
      </c>
      <c r="E30" s="140" t="str">
        <f t="shared" si="5"/>
        <v>Growing Roots Young Adult Services Project</v>
      </c>
      <c r="F30" s="140">
        <f t="shared" si="5"/>
        <v>42488</v>
      </c>
      <c r="G30" s="140">
        <f t="shared" si="5"/>
        <v>42552</v>
      </c>
      <c r="H30" s="122">
        <f t="shared" si="5"/>
        <v>1616900</v>
      </c>
      <c r="I30" s="122" t="str">
        <f t="shared" si="5"/>
        <v/>
      </c>
      <c r="J30" s="119" t="s">
        <v>159</v>
      </c>
      <c r="K30" s="120">
        <f>74434.28</f>
        <v>74434.28</v>
      </c>
      <c r="L30" s="120"/>
      <c r="M30" s="116"/>
      <c r="N30" s="116"/>
      <c r="O30" s="129"/>
      <c r="P30" s="293">
        <f t="shared" si="4"/>
        <v>74434.28</v>
      </c>
    </row>
    <row r="31" spans="2:16" ht="15">
      <c r="B31" s="123">
        <v>1</v>
      </c>
      <c r="C31" s="139">
        <f aca="true" t="shared" si="6" ref="C31:H31">IF(ISBLANK(C29),"",C29)</f>
        <v>21</v>
      </c>
      <c r="D31" s="398" t="str">
        <f t="shared" si="6"/>
        <v>Growing Roots Young Adult Services Project</v>
      </c>
      <c r="E31" s="141" t="str">
        <f t="shared" si="6"/>
        <v>Growing Roots Young Adult Services Project</v>
      </c>
      <c r="F31" s="141">
        <f t="shared" si="6"/>
        <v>42488</v>
      </c>
      <c r="G31" s="141">
        <f t="shared" si="6"/>
        <v>42552</v>
      </c>
      <c r="H31" s="119">
        <f t="shared" si="6"/>
        <v>1616900</v>
      </c>
      <c r="I31" s="119" t="str">
        <f t="shared" si="5"/>
        <v/>
      </c>
      <c r="J31" s="119" t="s">
        <v>237</v>
      </c>
      <c r="K31" s="120">
        <f>515516.31-K29-K30</f>
        <v>423223.87</v>
      </c>
      <c r="L31" s="120"/>
      <c r="M31" s="116"/>
      <c r="N31" s="116"/>
      <c r="O31" s="129"/>
      <c r="P31" s="293">
        <f t="shared" si="4"/>
        <v>423223.87</v>
      </c>
    </row>
    <row r="32" spans="2:16" ht="15.75">
      <c r="B32" s="96">
        <v>1</v>
      </c>
      <c r="C32" s="22">
        <f aca="true" t="shared" si="7" ref="C32:I32">IF(ISBLANK(C29),"",C29)</f>
        <v>21</v>
      </c>
      <c r="D32" s="399" t="str">
        <f t="shared" si="7"/>
        <v>Growing Roots Young Adult Services Project</v>
      </c>
      <c r="E32" s="33" t="str">
        <f t="shared" si="7"/>
        <v>Growing Roots Young Adult Services Project</v>
      </c>
      <c r="F32" s="33">
        <f t="shared" si="7"/>
        <v>42488</v>
      </c>
      <c r="G32" s="33">
        <f t="shared" si="7"/>
        <v>42552</v>
      </c>
      <c r="H32" s="34">
        <f t="shared" si="7"/>
        <v>1616900</v>
      </c>
      <c r="I32" s="34" t="str">
        <f t="shared" si="7"/>
        <v/>
      </c>
      <c r="J32" s="8" t="s">
        <v>263</v>
      </c>
      <c r="K32" s="50">
        <f>SUM(K29:K31)</f>
        <v>515516.31</v>
      </c>
      <c r="L32" s="50">
        <f>SUM(L29:L31)</f>
        <v>0</v>
      </c>
      <c r="M32" s="35">
        <f aca="true" t="shared" si="8" ref="M32:O32">SUM(M29:M31)</f>
        <v>0</v>
      </c>
      <c r="N32" s="35">
        <f t="shared" si="8"/>
        <v>0</v>
      </c>
      <c r="O32" s="311">
        <f t="shared" si="8"/>
        <v>0</v>
      </c>
      <c r="P32" s="8">
        <f t="shared" si="4"/>
        <v>515516.31</v>
      </c>
    </row>
    <row r="33" spans="2:16" ht="15">
      <c r="B33" s="123">
        <v>2</v>
      </c>
      <c r="C33" s="137" t="str">
        <f>IF(P36&lt;&gt;0,VLOOKUP($D$7,Info_County_Code,2,FALSE),"")</f>
        <v/>
      </c>
      <c r="D33" s="395"/>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55"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E30" sqref="E30"/>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Marin</v>
      </c>
      <c r="F7" s="94" t="s">
        <v>2</v>
      </c>
      <c r="G7" s="38">
        <f>IF(ISBLANK('1. Information'!D7),"",'1. Information'!D7)</f>
        <v>43447</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3" t="s">
        <v>213</v>
      </c>
      <c r="H12" s="464"/>
      <c r="I12" s="464"/>
      <c r="J12" s="465"/>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8" t="s">
        <v>16</v>
      </c>
      <c r="D14" s="448"/>
      <c r="E14" s="445"/>
      <c r="F14" s="290"/>
      <c r="G14" s="142"/>
      <c r="H14" s="142"/>
      <c r="I14" s="142"/>
      <c r="J14" s="142"/>
      <c r="K14" s="292">
        <f>SUM(F14:J14)</f>
        <v>0</v>
      </c>
      <c r="L14"/>
      <c r="M14"/>
      <c r="N14" s="108"/>
      <c r="O14" s="108"/>
    </row>
    <row r="15" spans="1:15" ht="15.75">
      <c r="A15" s="108"/>
      <c r="B15" s="101">
        <v>2</v>
      </c>
      <c r="C15" s="448" t="s">
        <v>17</v>
      </c>
      <c r="D15" s="448"/>
      <c r="E15" s="445"/>
      <c r="F15" s="290"/>
      <c r="G15" s="142"/>
      <c r="H15" s="142"/>
      <c r="I15" s="142"/>
      <c r="J15" s="142"/>
      <c r="K15" s="292">
        <f aca="true" t="shared" si="0" ref="K15:K19">SUM(F15:J15)</f>
        <v>0</v>
      </c>
      <c r="L15"/>
      <c r="M15"/>
      <c r="N15" s="108"/>
      <c r="O15" s="108"/>
    </row>
    <row r="16" spans="1:15" ht="15.75">
      <c r="A16" s="108"/>
      <c r="B16" s="101">
        <v>3</v>
      </c>
      <c r="C16" s="448" t="s">
        <v>238</v>
      </c>
      <c r="D16" s="448"/>
      <c r="E16" s="445"/>
      <c r="F16" s="290"/>
      <c r="G16" s="355"/>
      <c r="H16" s="355"/>
      <c r="I16" s="355"/>
      <c r="J16" s="355"/>
      <c r="K16" s="292">
        <f t="shared" si="0"/>
        <v>0</v>
      </c>
      <c r="L16"/>
      <c r="M16"/>
      <c r="N16" s="108"/>
      <c r="O16" s="108"/>
    </row>
    <row r="17" spans="1:15" ht="15.75">
      <c r="A17" s="108"/>
      <c r="B17" s="101">
        <v>4</v>
      </c>
      <c r="C17" s="448" t="s">
        <v>221</v>
      </c>
      <c r="D17" s="448"/>
      <c r="E17" s="445"/>
      <c r="F17" s="367"/>
      <c r="G17" s="119"/>
      <c r="H17" s="119"/>
      <c r="I17" s="119"/>
      <c r="J17" s="119"/>
      <c r="K17" s="292">
        <f t="shared" si="0"/>
        <v>0</v>
      </c>
      <c r="L17"/>
      <c r="M17"/>
      <c r="N17" s="108"/>
      <c r="O17" s="108"/>
    </row>
    <row r="18" spans="1:15" ht="15.75">
      <c r="A18" s="108"/>
      <c r="B18" s="101">
        <v>5</v>
      </c>
      <c r="C18" s="448" t="s">
        <v>222</v>
      </c>
      <c r="D18" s="448"/>
      <c r="E18" s="445"/>
      <c r="F18" s="367"/>
      <c r="G18" s="119"/>
      <c r="H18" s="119"/>
      <c r="I18" s="119"/>
      <c r="J18" s="119"/>
      <c r="K18" s="292">
        <f t="shared" si="0"/>
        <v>0</v>
      </c>
      <c r="L18"/>
      <c r="M18"/>
      <c r="N18" s="108"/>
      <c r="O18" s="108"/>
    </row>
    <row r="19" spans="1:15" ht="15.75">
      <c r="A19" s="108"/>
      <c r="B19" s="101">
        <v>6</v>
      </c>
      <c r="C19" s="445" t="s">
        <v>174</v>
      </c>
      <c r="D19" s="446"/>
      <c r="E19" s="447"/>
      <c r="F19" s="122">
        <f>SUM(E28:E32)</f>
        <v>307212.42000000004</v>
      </c>
      <c r="G19" s="121">
        <f aca="true" t="shared" si="1" ref="G19:I19">SUM(F28:F32)</f>
        <v>0</v>
      </c>
      <c r="H19" s="122">
        <f t="shared" si="1"/>
        <v>0</v>
      </c>
      <c r="I19" s="122">
        <f t="shared" si="1"/>
        <v>0</v>
      </c>
      <c r="J19" s="122">
        <f>SUM(I28:I32)</f>
        <v>0</v>
      </c>
      <c r="K19" s="293">
        <f t="shared" si="0"/>
        <v>307212.42000000004</v>
      </c>
      <c r="L19"/>
      <c r="M19"/>
      <c r="N19" s="108"/>
      <c r="O19" s="108"/>
    </row>
    <row r="20" spans="1:15" ht="30.95" customHeight="1">
      <c r="A20" s="108"/>
      <c r="B20" s="101">
        <v>7</v>
      </c>
      <c r="C20" s="458" t="s">
        <v>220</v>
      </c>
      <c r="D20" s="458"/>
      <c r="E20" s="458"/>
      <c r="F20" s="8">
        <f>SUM(F14:F16,F18:F19)</f>
        <v>307212.42000000004</v>
      </c>
      <c r="G20" s="43">
        <f aca="true" t="shared" si="2" ref="G20:J20">SUM(G14:G16,G18:G19)</f>
        <v>0</v>
      </c>
      <c r="H20" s="7">
        <f t="shared" si="2"/>
        <v>0</v>
      </c>
      <c r="I20" s="7">
        <f t="shared" si="2"/>
        <v>0</v>
      </c>
      <c r="J20" s="7">
        <f t="shared" si="2"/>
        <v>0</v>
      </c>
      <c r="K20" s="8">
        <f>SUM(K14:K16,K18:K19)</f>
        <v>307212.42000000004</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6" t="s">
        <v>30</v>
      </c>
      <c r="G26" s="466"/>
      <c r="H26" s="466"/>
      <c r="I26" s="466"/>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21</v>
      </c>
      <c r="D28" s="145" t="s">
        <v>105</v>
      </c>
      <c r="E28" s="117">
        <v>12582.5</v>
      </c>
      <c r="F28" s="120"/>
      <c r="G28" s="117"/>
      <c r="H28" s="117"/>
      <c r="I28" s="312"/>
      <c r="J28" s="119">
        <f>SUM(E28:I28)</f>
        <v>12582.5</v>
      </c>
      <c r="K28"/>
      <c r="L28"/>
      <c r="M28"/>
      <c r="N28"/>
      <c r="O28"/>
      <c r="P28"/>
      <c r="Q28"/>
      <c r="R28"/>
    </row>
    <row r="29" spans="1:18" ht="15.75">
      <c r="A29" s="108"/>
      <c r="B29" s="101">
        <v>2</v>
      </c>
      <c r="C29" s="132">
        <f>IF(J29&lt;&gt;0,VLOOKUP($D$7,Info_County_Code,2,FALSE),"")</f>
        <v>21</v>
      </c>
      <c r="D29" s="145" t="s">
        <v>106</v>
      </c>
      <c r="E29" s="116">
        <v>22992.68</v>
      </c>
      <c r="F29" s="120"/>
      <c r="G29" s="116"/>
      <c r="H29" s="116"/>
      <c r="I29" s="313"/>
      <c r="J29" s="119">
        <f aca="true" t="shared" si="3" ref="J29:J32">SUM(E29:I29)</f>
        <v>22992.68</v>
      </c>
      <c r="K29"/>
      <c r="L29"/>
      <c r="M29"/>
      <c r="N29"/>
      <c r="O29"/>
      <c r="P29"/>
      <c r="Q29"/>
      <c r="R29"/>
    </row>
    <row r="30" spans="1:18" ht="15.75">
      <c r="A30" s="108"/>
      <c r="B30" s="101">
        <v>3</v>
      </c>
      <c r="C30" s="132">
        <f>IF(J30&lt;&gt;0,VLOOKUP($D$7,Info_County_Code,2,FALSE),"")</f>
        <v>21</v>
      </c>
      <c r="D30" s="145" t="s">
        <v>107</v>
      </c>
      <c r="E30" s="116">
        <v>69302.99</v>
      </c>
      <c r="F30" s="120"/>
      <c r="G30" s="116"/>
      <c r="H30" s="116"/>
      <c r="I30" s="313"/>
      <c r="J30" s="119">
        <f t="shared" si="3"/>
        <v>69302.99</v>
      </c>
      <c r="K30"/>
      <c r="L30"/>
      <c r="M30"/>
      <c r="N30"/>
      <c r="O30"/>
      <c r="P30"/>
      <c r="Q30"/>
      <c r="R30"/>
    </row>
    <row r="31" spans="1:18" ht="15.75">
      <c r="A31" s="108"/>
      <c r="B31" s="144">
        <v>4</v>
      </c>
      <c r="C31" s="132">
        <f>IF(J31&lt;&gt;0,VLOOKUP($D$7,Info_County_Code,2,FALSE),"")</f>
        <v>21</v>
      </c>
      <c r="D31" s="145" t="s">
        <v>108</v>
      </c>
      <c r="E31" s="116">
        <v>202334.25</v>
      </c>
      <c r="F31" s="120"/>
      <c r="G31" s="116"/>
      <c r="H31" s="116"/>
      <c r="I31" s="313"/>
      <c r="J31" s="119">
        <f t="shared" si="3"/>
        <v>202334.25</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F19" sqref="F19"/>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60"/>
      <c r="C1" s="460"/>
      <c r="D1" s="460"/>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Marin</v>
      </c>
      <c r="E7" s="16"/>
      <c r="F7" s="95" t="s">
        <v>2</v>
      </c>
      <c r="G7" s="109">
        <f>IF(ISBLANK('1. Information'!D7),"",'1. Information'!D7)</f>
        <v>43447</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3" t="s">
        <v>213</v>
      </c>
      <c r="H12" s="433"/>
      <c r="I12" s="433"/>
      <c r="J12" s="433"/>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8" t="s">
        <v>189</v>
      </c>
      <c r="D14" s="448"/>
      <c r="E14" s="445"/>
      <c r="F14" s="142"/>
      <c r="G14" s="142"/>
      <c r="H14" s="142"/>
      <c r="I14" s="142"/>
      <c r="J14" s="142"/>
      <c r="K14" s="118">
        <f>SUM(F14:J14)</f>
        <v>0</v>
      </c>
      <c r="L14"/>
      <c r="M14"/>
      <c r="U14" s="108"/>
      <c r="V14" s="108"/>
      <c r="W14" s="108"/>
    </row>
    <row r="15" spans="2:23" ht="15">
      <c r="B15" s="101">
        <v>2</v>
      </c>
      <c r="C15" s="448" t="s">
        <v>188</v>
      </c>
      <c r="D15" s="448"/>
      <c r="E15" s="445"/>
      <c r="F15" s="142"/>
      <c r="G15" s="142"/>
      <c r="H15" s="142"/>
      <c r="I15" s="142"/>
      <c r="J15" s="142"/>
      <c r="K15" s="118">
        <f aca="true" t="shared" si="0" ref="K15:K20">SUM(F15:J15)</f>
        <v>0</v>
      </c>
      <c r="L15"/>
      <c r="M15"/>
      <c r="U15" s="108"/>
      <c r="V15" s="108"/>
      <c r="W15" s="108"/>
    </row>
    <row r="16" spans="2:23" ht="15">
      <c r="B16" s="101">
        <v>3</v>
      </c>
      <c r="C16" s="448" t="s">
        <v>123</v>
      </c>
      <c r="D16" s="448"/>
      <c r="E16" s="445"/>
      <c r="F16" s="142"/>
      <c r="G16" s="142"/>
      <c r="H16" s="142"/>
      <c r="I16" s="142"/>
      <c r="J16" s="142"/>
      <c r="K16" s="118">
        <f t="shared" si="0"/>
        <v>0</v>
      </c>
      <c r="L16"/>
      <c r="M16"/>
      <c r="U16" s="108"/>
      <c r="V16" s="108"/>
      <c r="W16" s="108"/>
    </row>
    <row r="17" spans="2:23" ht="15">
      <c r="B17" s="101">
        <v>4</v>
      </c>
      <c r="C17" s="448" t="s">
        <v>122</v>
      </c>
      <c r="D17" s="448"/>
      <c r="E17" s="445"/>
      <c r="F17" s="142"/>
      <c r="G17" s="142"/>
      <c r="H17" s="142"/>
      <c r="I17" s="142"/>
      <c r="J17" s="142"/>
      <c r="K17" s="118">
        <f t="shared" si="0"/>
        <v>0</v>
      </c>
      <c r="L17"/>
      <c r="M17"/>
      <c r="U17" s="108"/>
      <c r="V17" s="108"/>
      <c r="W17" s="108"/>
    </row>
    <row r="18" spans="2:23" ht="15">
      <c r="B18" s="101">
        <v>5</v>
      </c>
      <c r="C18" s="448" t="s">
        <v>239</v>
      </c>
      <c r="D18" s="448"/>
      <c r="E18" s="445"/>
      <c r="F18" s="142"/>
      <c r="G18" s="142"/>
      <c r="H18" s="142"/>
      <c r="I18" s="142"/>
      <c r="J18" s="142"/>
      <c r="K18" s="118">
        <f t="shared" si="0"/>
        <v>0</v>
      </c>
      <c r="L18"/>
      <c r="M18"/>
      <c r="U18" s="108"/>
      <c r="V18" s="108"/>
      <c r="W18" s="108"/>
    </row>
    <row r="19" spans="2:23" ht="15">
      <c r="B19" s="101">
        <v>6</v>
      </c>
      <c r="C19" s="448" t="s">
        <v>240</v>
      </c>
      <c r="D19" s="448"/>
      <c r="E19" s="445"/>
      <c r="F19" s="142">
        <f>36089.76+37094.22</f>
        <v>73183.98000000001</v>
      </c>
      <c r="G19" s="142"/>
      <c r="H19" s="142"/>
      <c r="I19" s="142"/>
      <c r="J19" s="355"/>
      <c r="K19" s="118">
        <f t="shared" si="0"/>
        <v>73183.98000000001</v>
      </c>
      <c r="L19"/>
      <c r="M19"/>
      <c r="U19" s="108"/>
      <c r="V19" s="108"/>
      <c r="W19" s="108"/>
    </row>
    <row r="20" spans="2:23" ht="15">
      <c r="B20" s="101">
        <v>7</v>
      </c>
      <c r="C20" s="448" t="s">
        <v>175</v>
      </c>
      <c r="D20" s="448"/>
      <c r="E20" s="448"/>
      <c r="F20" s="121">
        <f>SUM(G28:G47)</f>
        <v>285191.70999999996</v>
      </c>
      <c r="G20" s="121">
        <f>SUM(H28:H47)</f>
        <v>0</v>
      </c>
      <c r="H20" s="122">
        <f aca="true" t="shared" si="1" ref="H20">SUM(I28:I47)</f>
        <v>0</v>
      </c>
      <c r="I20" s="122">
        <f>SUM(J28:J47)</f>
        <v>0</v>
      </c>
      <c r="J20" s="119">
        <f>SUM(K28:K47)</f>
        <v>0</v>
      </c>
      <c r="K20" s="118">
        <f t="shared" si="0"/>
        <v>285191.70999999996</v>
      </c>
      <c r="L20"/>
      <c r="M20"/>
      <c r="U20" s="108"/>
      <c r="V20" s="108"/>
      <c r="W20" s="108"/>
    </row>
    <row r="21" spans="2:23" ht="30.95" customHeight="1">
      <c r="B21" s="101">
        <v>8</v>
      </c>
      <c r="C21" s="467" t="s">
        <v>20</v>
      </c>
      <c r="D21" s="467"/>
      <c r="E21" s="467"/>
      <c r="F21" s="43">
        <f>SUM(F14:F20)</f>
        <v>358375.68999999994</v>
      </c>
      <c r="G21" s="43">
        <f>SUM(G14:G20)</f>
        <v>0</v>
      </c>
      <c r="H21" s="7">
        <f aca="true" t="shared" si="2" ref="H21:J21">SUM(H14:H20)</f>
        <v>0</v>
      </c>
      <c r="I21" s="7">
        <f t="shared" si="2"/>
        <v>0</v>
      </c>
      <c r="J21" s="299">
        <f t="shared" si="2"/>
        <v>0</v>
      </c>
      <c r="K21" s="7">
        <f aca="true" t="shared" si="3" ref="K21">SUM(K14:K20)</f>
        <v>358375.68999999994</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6" t="s">
        <v>224</v>
      </c>
      <c r="E26" s="466"/>
      <c r="F26" s="466"/>
      <c r="G26" s="344" t="s">
        <v>214</v>
      </c>
      <c r="H26" s="466" t="s">
        <v>213</v>
      </c>
      <c r="I26" s="466"/>
      <c r="J26" s="466"/>
      <c r="K26" s="466"/>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21</v>
      </c>
      <c r="D28" s="416" t="s">
        <v>341</v>
      </c>
      <c r="E28" s="151"/>
      <c r="F28" s="125"/>
      <c r="G28" s="117">
        <f>173297.6+32384.14+44656.12</f>
        <v>250337.86</v>
      </c>
      <c r="H28" s="126"/>
      <c r="I28" s="126"/>
      <c r="J28" s="117"/>
      <c r="K28" s="312"/>
      <c r="L28" s="316">
        <f>SUM(G28:K28)</f>
        <v>250337.86</v>
      </c>
      <c r="M28"/>
      <c r="U28" s="108"/>
      <c r="V28" s="108"/>
      <c r="W28" s="108"/>
    </row>
    <row r="29" spans="2:23" ht="15">
      <c r="B29" s="101">
        <v>2</v>
      </c>
      <c r="C29" s="132">
        <f t="shared" si="4"/>
        <v>21</v>
      </c>
      <c r="D29" s="364" t="s">
        <v>327</v>
      </c>
      <c r="E29" s="396"/>
      <c r="F29" s="125"/>
      <c r="G29" s="117">
        <v>7978.85</v>
      </c>
      <c r="H29" s="126"/>
      <c r="I29" s="120"/>
      <c r="J29" s="116"/>
      <c r="K29" s="313"/>
      <c r="L29" s="316">
        <f aca="true" t="shared" si="5" ref="L29:L47">SUM(G29:K29)</f>
        <v>7978.85</v>
      </c>
      <c r="M29"/>
      <c r="U29" s="108"/>
      <c r="V29" s="108"/>
      <c r="W29" s="108"/>
    </row>
    <row r="30" spans="2:23" ht="15">
      <c r="B30" s="101">
        <v>3</v>
      </c>
      <c r="C30" s="132">
        <f t="shared" si="4"/>
        <v>21</v>
      </c>
      <c r="D30" s="364" t="s">
        <v>344</v>
      </c>
      <c r="E30" s="396"/>
      <c r="F30" s="125"/>
      <c r="G30" s="117">
        <v>26875</v>
      </c>
      <c r="H30" s="126"/>
      <c r="I30" s="120"/>
      <c r="J30" s="116"/>
      <c r="K30" s="313"/>
      <c r="L30" s="316">
        <f t="shared" si="5"/>
        <v>26875</v>
      </c>
      <c r="M30"/>
      <c r="U30" s="108"/>
      <c r="V30" s="108"/>
      <c r="W30" s="108"/>
    </row>
    <row r="31" spans="2:23" ht="15">
      <c r="B31" s="101">
        <v>4</v>
      </c>
      <c r="C31" s="132" t="str">
        <f t="shared" si="4"/>
        <v/>
      </c>
      <c r="D31" s="416"/>
      <c r="E31" s="396"/>
      <c r="F31" s="125"/>
      <c r="G31" s="117"/>
      <c r="H31" s="126"/>
      <c r="I31" s="120"/>
      <c r="J31" s="116"/>
      <c r="K31" s="313"/>
      <c r="L31" s="316">
        <f t="shared" si="5"/>
        <v>0</v>
      </c>
      <c r="M31"/>
      <c r="U31" s="108"/>
      <c r="V31" s="108"/>
      <c r="W31" s="108"/>
    </row>
    <row r="32" spans="2:23" ht="15">
      <c r="B32" s="101">
        <v>5</v>
      </c>
      <c r="C32" s="132" t="str">
        <f t="shared" si="4"/>
        <v/>
      </c>
      <c r="D32" s="416"/>
      <c r="E32" s="396"/>
      <c r="F32" s="125"/>
      <c r="G32" s="117"/>
      <c r="H32" s="126"/>
      <c r="I32" s="120"/>
      <c r="J32" s="116"/>
      <c r="K32" s="313"/>
      <c r="L32" s="316">
        <f t="shared" si="5"/>
        <v>0</v>
      </c>
      <c r="M32"/>
      <c r="U32" s="108"/>
      <c r="V32" s="108"/>
      <c r="W32" s="108"/>
    </row>
    <row r="33" spans="2:23" ht="15">
      <c r="B33" s="101">
        <v>6</v>
      </c>
      <c r="C33" s="132" t="str">
        <f t="shared" si="4"/>
        <v/>
      </c>
      <c r="D33" s="416"/>
      <c r="E33" s="396"/>
      <c r="F33" s="125"/>
      <c r="G33" s="117"/>
      <c r="H33" s="126"/>
      <c r="I33" s="120"/>
      <c r="J33" s="116"/>
      <c r="K33" s="313"/>
      <c r="L33" s="316">
        <f t="shared" si="5"/>
        <v>0</v>
      </c>
      <c r="M33"/>
      <c r="U33" s="108"/>
      <c r="V33" s="108"/>
      <c r="W33" s="108"/>
    </row>
    <row r="34" spans="2:23" ht="15">
      <c r="B34" s="101">
        <v>7</v>
      </c>
      <c r="C34" s="132" t="str">
        <f t="shared" si="4"/>
        <v/>
      </c>
      <c r="D34" s="416"/>
      <c r="E34" s="396"/>
      <c r="F34" s="125"/>
      <c r="G34" s="117"/>
      <c r="H34" s="126"/>
      <c r="I34" s="120"/>
      <c r="J34" s="116"/>
      <c r="K34" s="313"/>
      <c r="L34" s="316">
        <f t="shared" si="5"/>
        <v>0</v>
      </c>
      <c r="M34"/>
      <c r="U34" s="108"/>
      <c r="V34" s="108"/>
      <c r="W34" s="108"/>
    </row>
    <row r="35" spans="2:23" ht="15">
      <c r="B35" s="101">
        <v>8</v>
      </c>
      <c r="C35" s="132" t="str">
        <f t="shared" si="4"/>
        <v/>
      </c>
      <c r="D35" s="364"/>
      <c r="E35" s="151"/>
      <c r="F35" s="125"/>
      <c r="G35" s="117"/>
      <c r="H35" s="126"/>
      <c r="I35" s="120"/>
      <c r="J35" s="116"/>
      <c r="K35" s="313"/>
      <c r="L35" s="316">
        <f t="shared" si="5"/>
        <v>0</v>
      </c>
      <c r="M35"/>
      <c r="U35" s="108"/>
      <c r="V35" s="108"/>
      <c r="W35" s="108"/>
    </row>
    <row r="36" spans="2:23" ht="15">
      <c r="B36" s="101">
        <v>9</v>
      </c>
      <c r="C36" s="132" t="str">
        <f t="shared" si="4"/>
        <v/>
      </c>
      <c r="D36" s="364"/>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2018-12-17T15:49:30Z</cp:lastPrinted>
  <dcterms:created xsi:type="dcterms:W3CDTF">2017-07-05T19:48:18Z</dcterms:created>
  <dcterms:modified xsi:type="dcterms:W3CDTF">2019-05-21T21:08:54Z</dcterms:modified>
  <cp:category/>
  <cp:version/>
  <cp:contentType/>
  <cp:contentStatus/>
</cp:coreProperties>
</file>