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565" tabRatio="755" firstSheet="1" activeTab="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Summary'!$A$1:$N$41</definedName>
    <definedName name="_xlnm.Print_Area" localSheetId="4">'3. CSS'!$A$1:$L$125</definedName>
    <definedName name="_xlnm.Print_Area" localSheetId="5">'4. PEI'!$B$1:$Q$86</definedName>
    <definedName name="_xlnm.Print_Area" localSheetId="6">'5. INN'!$B$2:$P$132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<sst xmlns="http://schemas.openxmlformats.org/spreadsheetml/2006/main" count="1083" uniqueCount="499">
  <si>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</si>
  <si>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</si>
  <si>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</si>
  <si>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</si>
  <si>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</si>
  <si>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</si>
  <si>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</si>
  <si>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</si>
  <si>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</si>
  <si>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</si>
  <si>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</si>
  <si>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</si>
  <si>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</si>
  <si>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</si>
  <si>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</si>
  <si>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</si>
  <si>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</si>
  <si>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</si>
  <si>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</si>
  <si>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</si>
  <si>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</si>
  <si>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</si>
  <si>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</si>
  <si>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</si>
  <si>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</si>
  <si>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</si>
  <si>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</si>
  <si>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</si>
  <si>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</si>
  <si>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</si>
  <si>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</si>
  <si>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</si>
  <si>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</si>
  <si>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</si>
  <si>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</si>
  <si>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</si>
  <si>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</si>
  <si>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</si>
  <si>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</si>
  <si>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</si>
  <si>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</si>
  <si>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</si>
  <si>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</si>
  <si>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</si>
  <si>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</si>
  <si>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</si>
  <si>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</si>
  <si>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</si>
  <si>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</si>
  <si>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</si>
  <si>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</si>
  <si>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</si>
  <si>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</si>
  <si>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</si>
  <si>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</si>
  <si>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</si>
  <si>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</si>
  <si>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</si>
  <si>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</si>
  <si>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</si>
  <si>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</si>
  <si>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</si>
  <si>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</si>
  <si>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</si>
  <si>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</si>
  <si>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</si>
  <si>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</si>
  <si>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</si>
  <si>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</si>
  <si>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</si>
  <si>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</si>
  <si>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</si>
  <si>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</si>
  <si>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</si>
  <si>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</si>
  <si>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</si>
  <si>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</si>
  <si>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</si>
  <si>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</si>
  <si>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</si>
  <si>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</si>
  <si>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</si>
  <si>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</si>
  <si>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</si>
  <si>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</si>
  <si>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</si>
  <si>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</si>
  <si>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</si>
  <si>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</si>
  <si>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</si>
  <si>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</si>
  <si>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</si>
  <si>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</si>
  <si>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</si>
  <si>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</si>
  <si>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</si>
  <si>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</si>
  <si>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</si>
  <si>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</si>
  <si>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</si>
  <si>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</si>
  <si>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</si>
  <si>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</si>
  <si>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</si>
  <si>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</si>
  <si>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</si>
  <si>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</si>
  <si>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</si>
  <si>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</si>
  <si>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</si>
  <si>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</si>
  <si>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</si>
  <si>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</si>
  <si>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</si>
  <si>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</si>
  <si>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</si>
  <si>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</si>
  <si>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</si>
  <si>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</si>
  <si>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</si>
  <si>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</si>
  <si>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</si>
  <si>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</si>
  <si>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</si>
  <si>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</si>
  <si>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</si>
  <si>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</si>
  <si>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</si>
  <si>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</si>
  <si>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</si>
  <si>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</si>
  <si>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</si>
  <si>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</si>
  <si>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</si>
  <si>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</si>
  <si>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</si>
  <si>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</si>
  <si>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</si>
  <si>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</si>
  <si>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</si>
  <si>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</si>
  <si>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</si>
  <si>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</si>
  <si>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</si>
  <si>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</si>
  <si>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</si>
  <si>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</si>
  <si>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</si>
  <si>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</si>
  <si>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</si>
  <si>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</si>
  <si>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</si>
  <si>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</si>
  <si>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</si>
  <si>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</si>
  <si>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</si>
  <si>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</si>
  <si>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</si>
  <si>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</si>
  <si>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</si>
  <si>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</si>
  <si>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</si>
  <si>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</si>
  <si>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</si>
  <si>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</si>
  <si>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</si>
  <si>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</si>
  <si>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</si>
  <si>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</si>
  <si>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</si>
  <si>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</si>
  <si>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</si>
  <si>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</si>
  <si>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</si>
  <si>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</si>
  <si>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</si>
  <si>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</si>
  <si>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</si>
  <si>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</si>
  <si>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</si>
  <si>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</si>
  <si>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</si>
  <si>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</si>
  <si>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</si>
  <si>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</si>
  <si>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</si>
  <si>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</si>
  <si>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</si>
  <si>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</si>
  <si>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</si>
  <si>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</si>
  <si>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</si>
  <si>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</si>
  <si>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</si>
  <si>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</si>
  <si>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</si>
  <si>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</si>
  <si>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</si>
  <si>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</si>
  <si>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</si>
  <si>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</si>
  <si>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</si>
  <si>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</si>
  <si>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</si>
  <si>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</si>
  <si>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</si>
  <si>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</si>
  <si>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</si>
  <si>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</si>
  <si>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</si>
  <si>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</si>
  <si>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</si>
  <si>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</si>
  <si>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</si>
  <si>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</si>
  <si>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</si>
  <si>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</si>
  <si>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</si>
  <si>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</si>
  <si>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</si>
  <si>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</si>
  <si>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</si>
  <si>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</si>
  <si>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</si>
  <si>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</si>
  <si>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</si>
  <si>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</si>
  <si>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</si>
  <si>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</si>
  <si>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</si>
  <si>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</si>
  <si>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</si>
  <si>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</si>
  <si>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</si>
  <si>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</si>
  <si>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</si>
  <si>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</si>
  <si>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</si>
  <si>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</si>
  <si>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</si>
  <si>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</si>
  <si>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</si>
  <si>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</si>
  <si>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</si>
  <si>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</si>
  <si>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</si>
  <si>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</si>
  <si>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</si>
  <si>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</si>
  <si>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</si>
  <si>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</si>
  <si>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</si>
  <si>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</si>
  <si>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</si>
  <si>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</si>
  <si>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</si>
  <si>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</si>
  <si>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</si>
  <si>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</si>
  <si>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</si>
  <si>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</si>
  <si>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</si>
  <si>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</si>
  <si>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</si>
  <si>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</si>
  <si>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</si>
  <si>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</si>
  <si>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</si>
  <si>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</si>
  <si>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</si>
  <si>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</si>
  <si>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</si>
  <si>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</si>
  <si>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</si>
  <si>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</si>
  <si>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</si>
  <si>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</si>
  <si>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</si>
  <si>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</si>
  <si>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</si>
  <si>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</si>
  <si>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</si>
  <si>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</si>
  <si>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</si>
  <si>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</si>
  <si>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</si>
  <si>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</si>
  <si>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</si>
  <si>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</si>
  <si>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</si>
  <si>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</si>
  <si>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</si>
  <si>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</si>
  <si>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</si>
  <si>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</si>
  <si>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</si>
  <si>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</si>
  <si>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</si>
  <si>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</si>
  <si>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</si>
  <si>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</si>
  <si>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</si>
  <si>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</si>
  <si>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</si>
  <si>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</si>
  <si>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</si>
  <si>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</si>
  <si>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</si>
  <si>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</si>
  <si>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</si>
  <si>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</si>
  <si>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</si>
  <si>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</si>
  <si>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</si>
  <si>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</si>
  <si>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</si>
  <si>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</si>
  <si>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</si>
  <si>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</si>
  <si>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</si>
  <si>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</si>
  <si>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</si>
  <si>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1255 Imperial Avenue</t>
  </si>
  <si>
    <t>Maria Elena Padilla</t>
  </si>
  <si>
    <t>Senior Accountant</t>
  </si>
  <si>
    <t>mariaelena.padilla@sd.county.ca.gov</t>
  </si>
  <si>
    <t>(619) 338-2982</t>
  </si>
  <si>
    <t>MHSA expednitures overstated for Wraparound Services (WRAP) - Child Welfare Services (CWS) program</t>
  </si>
  <si>
    <t>CY-FSP Full Service Partnerships for Children &amp; Youth</t>
  </si>
  <si>
    <t>Children's Full Service Partnership (FSP)</t>
  </si>
  <si>
    <t>Children's School Based Full Service Partnership (FSP)</t>
  </si>
  <si>
    <t>Therapeutic Behavioral Services (TBS)</t>
  </si>
  <si>
    <t>Wraparound Services (WRAP) - Child Welfare Services (CWS)</t>
  </si>
  <si>
    <t>TAOA-FSP Full Service Partnerships for Ages 18-60+</t>
  </si>
  <si>
    <t>Adult Residential Treatment</t>
  </si>
  <si>
    <t>Assisted Outpatient Treatment (AOT)</t>
  </si>
  <si>
    <t>Behavioral Health Court</t>
  </si>
  <si>
    <t>County of San Diego - Institutional Case Management (ICM)</t>
  </si>
  <si>
    <t>County of San Diego - Probation</t>
  </si>
  <si>
    <t>Crisis Residential Services - North Inland</t>
  </si>
  <si>
    <t>Full Service Partnership (FSP) / Assertive Community Treatment (ACT) - High Utilizers and on Probation</t>
  </si>
  <si>
    <t>Full Service Partnership (FSP) / Assertive Community Treatment (ACT)</t>
  </si>
  <si>
    <t>Full Service Partnership (FSP) / Assertive Community Treatment (ACT) - High Utilizers and on Probation - Housing</t>
  </si>
  <si>
    <t>Full Service Partnership (FSP) / Assertive Community Treatment (ACT) - Housing</t>
  </si>
  <si>
    <t>Full Service Partnership (FSP) / Assertive Community Treatment (ACT) - Homeless - Central</t>
  </si>
  <si>
    <t>Full Service Partnership (FSP) / Assertive Community Treatment (ACT) - Homeless - Central (Housing)</t>
  </si>
  <si>
    <t>Full Service Partnership (FSP) / Assertive Community Treatment (ACT) - Homeless - East</t>
  </si>
  <si>
    <t>Full Service Partnership (FSP) / Assertive Community Treatment (ACT) - Homeless - East (Housing)</t>
  </si>
  <si>
    <t>Full Service Partnership (FSP) / Assertive Community Treatment (ACT) - Homeless - South</t>
  </si>
  <si>
    <t>Full Service Partnership (FSP) / Assertive Community Treatment (ACT) - Homeless - South - Housing</t>
  </si>
  <si>
    <t>Full Service Partnership (FSP) / Assertive Community Treatment (ACT) - Inreach to Long-Term Care</t>
  </si>
  <si>
    <t>Full Service Partnership (FSP) / Assertive Community Treatment (ACT) - Inreach to Long-Term Care - Housing</t>
  </si>
  <si>
    <t>Full Service Partnership (FSP) / Assertive Community Treatment (ACT) - Justice Integrated Services - Center Star - Justice - (Vulnerability Index/Project 50)</t>
  </si>
  <si>
    <t>Full Service Partnership (FSP) / Assertive Community Treatment (ACT) - Justice Integrated Services</t>
  </si>
  <si>
    <t>Full Service Partnership (FSP) / Assertive Community Treatment (ACT) - Justice Integrated Services - Housing</t>
  </si>
  <si>
    <t>Full Service Partnership (FSP) / Assertive Community Treatment (ACT) - North</t>
  </si>
  <si>
    <t>Full Service Partnership (FSP) / Assertive Community Treatment (ACT) - North - Housing</t>
  </si>
  <si>
    <t>Full Service Partnership (FSP) / Assertive Community Treatment (ACT) - Older Adults</t>
  </si>
  <si>
    <t>Full Service Partnership (FSP) / Assertive Community Treatment (ACT) - Older Adults - Housing</t>
  </si>
  <si>
    <t>Full Service Partnership (FSP) / Assertive Community Treatment (ACT) - TAY</t>
  </si>
  <si>
    <t>Full Service Partnership (FSP) / Assertive Community Treatment (ACT) - TAY - Housing</t>
  </si>
  <si>
    <t>Full Service Partnership (FSP) / Assertive Community Treatment (ACT) - Transitional Residential Program</t>
  </si>
  <si>
    <t>North Coastal Mental Health Center and Vista Clinic</t>
  </si>
  <si>
    <t>Payee Case Management Services</t>
  </si>
  <si>
    <t>Short-Term Mental Health Intensive Case Management - High Utilizers</t>
  </si>
  <si>
    <t>Short-Term Mental Health Intensive Case Management - Persons with High Service Use</t>
  </si>
  <si>
    <t>Strengths Based Case Management (SBCM)</t>
  </si>
  <si>
    <t>ALL-OE Outreach &amp; Engagement All Ages</t>
  </si>
  <si>
    <t>Behavioral Health Services - Victims of Trauma and Torture</t>
  </si>
  <si>
    <t>Behavioral Health Services and Primary Care Integration Services</t>
  </si>
  <si>
    <t>Behavioral Health and Primary Care Integration Services</t>
  </si>
  <si>
    <t>Behavioral Health Services for Deaf &amp; Hard of Hearing</t>
  </si>
  <si>
    <t>Clubhouse - Deaf or Hard of Hearing</t>
  </si>
  <si>
    <t>Psychiatric and Addiction Consultation and Family Support Services</t>
  </si>
  <si>
    <t>ALL-SD System Development for All Ages</t>
  </si>
  <si>
    <t>Chaldean and Middle-Eastern Social Services</t>
  </si>
  <si>
    <t>Psychiatric Emergency Response Team (PERT)</t>
  </si>
  <si>
    <t>CY-OE Outreach and Engagement</t>
  </si>
  <si>
    <t>Non-Residential Substance Use Disorder (SUD) Treatment &amp; Recovery Services - Women</t>
  </si>
  <si>
    <t>Parent Partner Services</t>
  </si>
  <si>
    <t>School Based Mental Health Services</t>
  </si>
  <si>
    <t>CY-SD System Development for Children and Youth</t>
  </si>
  <si>
    <t>Administrative Services Organization (ASO) - TERM</t>
  </si>
  <si>
    <t>BHS Children, Youth and Families (CYF) Liaison</t>
  </si>
  <si>
    <t>Family Mental Health Education &amp; Support (TAOA-SD)</t>
  </si>
  <si>
    <t>Breaking Cycles Graduated Sanctions Program</t>
  </si>
  <si>
    <t>Commercially Sexually Exploited Children (CSEC)</t>
  </si>
  <si>
    <t>County of San Diego - Juvenile Forensic Services</t>
  </si>
  <si>
    <t>Emergency Screening Unit (ESU)</t>
  </si>
  <si>
    <t>Family/Youth Peer Support Services</t>
  </si>
  <si>
    <t>Crisis Action and Connection (CAC)</t>
  </si>
  <si>
    <t>Incredible Families</t>
  </si>
  <si>
    <t>Incredible Years</t>
  </si>
  <si>
    <t>Medication Support for Wards and Dependents</t>
  </si>
  <si>
    <t>Mental Health Services - For Lesbian, Gay, Bisexual, Transgender or Questioning (LGBTQ)</t>
  </si>
  <si>
    <t>Multi-Systems Therapy (MST)</t>
  </si>
  <si>
    <t>Multi-Systemic Therapy (MST)</t>
  </si>
  <si>
    <t>Placement Stabilization Services</t>
  </si>
  <si>
    <t>Rural Integrated Behavioral Health &amp; Primary Care Services</t>
  </si>
  <si>
    <t>Supplemental Security Income (SSI) Advocacy Services</t>
  </si>
  <si>
    <t>Walk-In Assessment Clinic and Mobile Assessment Team</t>
  </si>
  <si>
    <t>TAOA-OE Outreach and Engagement for Ages 18-60+</t>
  </si>
  <si>
    <t>Non-Residential Substance Use Disorder (SUD) Treatment &amp; Recovery Services - Adult</t>
  </si>
  <si>
    <t>TAOA-SD System Development for Ages 18-60+</t>
  </si>
  <si>
    <t>Augmented Services Program (ASP)</t>
  </si>
  <si>
    <t>Bio-Psychosocial Rehabilitation (BPSR)</t>
  </si>
  <si>
    <t>Client Liaison Services</t>
  </si>
  <si>
    <t>Client Operated Peer Support Services</t>
  </si>
  <si>
    <t>Clubhouse</t>
  </si>
  <si>
    <t>Crisis Stabilization - North Coastal</t>
  </si>
  <si>
    <t>Crisis Stabilization - North Inland</t>
  </si>
  <si>
    <t>Emergency Shelter Beds (ESB)</t>
  </si>
  <si>
    <t>Employment Solutions for Adults</t>
  </si>
  <si>
    <t>San Diego Employment Solutions</t>
  </si>
  <si>
    <t>Family Mental Health Education and Support</t>
  </si>
  <si>
    <t>Home Finder</t>
  </si>
  <si>
    <t>In-Home Outreach Teams (IHOT)</t>
  </si>
  <si>
    <t>In Home Outreach Team (IHOT)</t>
  </si>
  <si>
    <t>Inpatient and Residential Advocacy Services</t>
  </si>
  <si>
    <t>Mental Health Advocacy Services</t>
  </si>
  <si>
    <t>Institutional Case Mgmt (ICM) - Older Adults</t>
  </si>
  <si>
    <t>Justice System Discharge Planning</t>
  </si>
  <si>
    <t>North Inland Mental Health Center</t>
  </si>
  <si>
    <t>Public Defender - Behavioral Health Assessor</t>
  </si>
  <si>
    <t>Short Term Acute Residential Treatment (START)</t>
  </si>
  <si>
    <t>Telemedicine</t>
  </si>
  <si>
    <t>Tenant Peer Support Services</t>
  </si>
  <si>
    <t>Walk-In Assessment Center</t>
  </si>
  <si>
    <t>CO-02 Co-Occurring Disorders</t>
  </si>
  <si>
    <t>Adult Drug Court Treatment and Testing</t>
  </si>
  <si>
    <t>Co-Occurring Disorders Program</t>
  </si>
  <si>
    <t>Co-Occurring Disorders Program (SET ASIDE)</t>
  </si>
  <si>
    <t>Non-Residential Substance Use Disorder (SUD) Treatment &amp; Recovery Services - Adolescent</t>
  </si>
  <si>
    <t>Non-Residential Substance Use Disorder (SUD) Treatment &amp; Recovery Services - Adolescents</t>
  </si>
  <si>
    <t>Non-Residential Substance Use Disorder (SUD) Treatment &amp; Recovery Services - Serial Inebriate Program (SIP)</t>
  </si>
  <si>
    <t>Non-Residential AOD Treatment &amp; Recovery Services - Adolescent, Adolescent - South</t>
  </si>
  <si>
    <t>Residential Substance Use Disorder (SUD) Treatment &amp; Recovery Services - Adult</t>
  </si>
  <si>
    <t>Residential Substance Use Disorder (SUD) Treatment &amp; Recovery Services - Women</t>
  </si>
  <si>
    <t>Substance Use Disorder (SUD) - Residential PEI Case Managers</t>
  </si>
  <si>
    <t>Reentry Court</t>
  </si>
  <si>
    <t xml:space="preserve">CO-03 Integrated Peer &amp; Family Engagement </t>
  </si>
  <si>
    <t>Integrated Peer &amp; Family Engagement Program</t>
  </si>
  <si>
    <t>DV-03 Alliance for Community Empowerment</t>
  </si>
  <si>
    <t>Community Violence Services (South - Alliance for Community Empowerment)</t>
  </si>
  <si>
    <t>Community Violence Services -Alliance for Community Empowerment</t>
  </si>
  <si>
    <t>DV-04 Community Services for Families - Child Welfare Services</t>
  </si>
  <si>
    <t>Community Services for Families - Child Welfare Services</t>
  </si>
  <si>
    <t>EC-01 Positive Parenting Program (Triple P)</t>
  </si>
  <si>
    <t>Positive Parenting Program (Triple P)</t>
  </si>
  <si>
    <t>FB-01 Early Intervention for Prevention of Psychosis (Kick Start)</t>
  </si>
  <si>
    <t xml:space="preserve">Early Intervention for Prevention of Psychosis </t>
  </si>
  <si>
    <t>NA-01 Native American Prevention and Early Intervention (Dream Weaver)</t>
  </si>
  <si>
    <t>Native American Prevention and Early Intervention</t>
  </si>
  <si>
    <t>OA-01 Elder Multicultural Access &amp; Support Services (EMASS)</t>
  </si>
  <si>
    <t>Elder Multicultural Access &amp; Support Services (EMASS)</t>
  </si>
  <si>
    <t>OA-02 Home Based Services - For Older Adults (Positive Solutions)</t>
  </si>
  <si>
    <t>Home Based Services - For Older Adults</t>
  </si>
  <si>
    <t>OA-06 Caregiver Support for Alzheimer &amp; Dementia Patients</t>
  </si>
  <si>
    <t>Caregiver Support for Alzheimer &amp; Dementia Patients</t>
  </si>
  <si>
    <t>PS-01 Education and Support Lines</t>
  </si>
  <si>
    <t>Breaking Down Barriers (BDB) Initiative</t>
  </si>
  <si>
    <t>County Community Health Promotion Specialists (CHPS)</t>
  </si>
  <si>
    <t>County of San Diego - Community Health Promotion Specialists (CHPS)</t>
  </si>
  <si>
    <t>Family Peer Support Program</t>
  </si>
  <si>
    <t>Inreach Services</t>
  </si>
  <si>
    <t>Mental Health First Aid</t>
  </si>
  <si>
    <t>Suicide Prevention &amp; Stigma Reduction Media Campaign - It's Up To Us</t>
  </si>
  <si>
    <t>Suicide Prevention Action Plan</t>
  </si>
  <si>
    <t>Supported Employment Technical Consultant Services</t>
  </si>
  <si>
    <t>RC-01 Rural Integrated Behavioral Health and Primary Care Services</t>
  </si>
  <si>
    <t>Rural Integrated Behavioral Health and Primary Care Integration Services</t>
  </si>
  <si>
    <t>RE-01 Independent Living Association (ILA)</t>
  </si>
  <si>
    <t>Independent Living Association (ILA)</t>
  </si>
  <si>
    <t>SA-01A School Based Prevention and Early Intervention</t>
  </si>
  <si>
    <t>School Based Prevention and Early Intervention</t>
  </si>
  <si>
    <t>SA-02 School Based Suicide Prevention &amp; Early Intervention (Here Now)</t>
  </si>
  <si>
    <t>School Based Suicide Prevention &amp; Early Intervention</t>
  </si>
  <si>
    <t>VF-01 Veterans &amp; Family Outreach Education (Courage to Call)</t>
  </si>
  <si>
    <t>Veterans &amp; Family Outreach Education</t>
  </si>
  <si>
    <t xml:space="preserve">*PEI funds transferred to CalMHSA for PEI SW = $400,000 </t>
  </si>
  <si>
    <t>* PEI expenditures incurred by JPA (Funds transferred to CalMHSA) = $22,432 for Cost of Operations State Hospital Bed Program</t>
  </si>
  <si>
    <t>S&amp;D - Stigma &amp; Discrimination</t>
  </si>
  <si>
    <t>Caregiver Connections</t>
  </si>
  <si>
    <t>Family Therapy Participation</t>
  </si>
  <si>
    <t>Faith Based Initiative</t>
  </si>
  <si>
    <t>Ramp Up to Work</t>
  </si>
  <si>
    <t xml:space="preserve">Peer Assisted Transitions                                    </t>
  </si>
  <si>
    <t>Urban Beats</t>
  </si>
  <si>
    <t>Mobile Hoarding Intervention Program</t>
  </si>
  <si>
    <t>ROAM Mobile Services</t>
  </si>
  <si>
    <t>North Inland Crisis Residential</t>
  </si>
  <si>
    <t>Data Exchange (Interoperability)</t>
  </si>
  <si>
    <t>Personal Health Record</t>
  </si>
  <si>
    <t>CF-5 Emergency Screening Unit (ESU)</t>
  </si>
  <si>
    <t>SD-3 Personal Health Record</t>
  </si>
  <si>
    <t>SD-5 Telemedicine</t>
  </si>
  <si>
    <t>SD-8 Data Exchange (Interooperability)</t>
  </si>
  <si>
    <t>BHS Financial Management System</t>
  </si>
  <si>
    <t xml:space="preserve"> San Diego County believes that the State's formula for tab 4 (PEI) Section 2, column A does not present a fair calculation of the percent expended for Clients 25 and Under, All PEI. Due to this concern San Diego's percentage is 42.11% only which is below the 51% threshold. Please refer to the emails sent by the preparer, Maria Elena Padilla to Minh Hoang and Donna Ures on 12/21/18. San Diego looks forward to receiving a response from DHCS to resolve the issue.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</si>
</sst>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3">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9" fontId="2" fillId="0" borderId="5" xfId="15" applyFont="1" applyFill="1" applyBorder="1" applyProtection="1">
      <protection locked="0"/>
    </xf>
    <xf numFmtId="4" fontId="2" fillId="0" borderId="0" xfId="0" applyNumberFormat="1" applyFont="1" applyBorder="1" applyProtection="1">
      <protection locked="0"/>
    </xf>
    <xf numFmtId="14" fontId="2" fillId="0" borderId="5" xfId="0" applyNumberFormat="1" applyFont="1" applyFill="1" applyBorder="1" applyProtection="1">
      <protection locked="0"/>
    </xf>
    <xf numFmtId="164" fontId="2" fillId="0" borderId="10" xfId="0" applyNumberFormat="1" applyFont="1" applyFill="1" applyBorder="1" applyProtection="1">
      <protection locked="0"/>
    </xf>
    <xf numFmtId="14"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206738" y="1145037"/>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2887" y="292116"/>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Information</a:t>
          </a:r>
          <a:r>
            <a:rPr lang="en-US" sz="1100" kern="1200"/>
            <a:t> </a:t>
          </a:r>
          <a:r>
            <a:rPr lang="en-US" sz="1200" kern="1200"/>
            <a:t>WorkSheet</a:t>
          </a:r>
        </a:p>
      </dsp:txBody>
      <dsp:txXfrm>
        <a:off x="47153" y="336382"/>
        <a:ext cx="1206723" cy="818104"/>
      </dsp:txXfrm>
    </dsp:sp>
    <dsp:sp modelId="{8541039B-38A0-4921-BC82-61EFB02031B8}">
      <dsp:nvSpPr>
        <dsp:cNvPr id="0" name=""/>
        <dsp:cNvSpPr/>
      </dsp:nvSpPr>
      <dsp:spPr>
        <a:xfrm>
          <a:off x="1298143" y="378584"/>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280642" y="2163489"/>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076792" y="1310568"/>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a:t>
          </a:r>
        </a:p>
      </dsp:txBody>
      <dsp:txXfrm>
        <a:off x="1121058" y="1354834"/>
        <a:ext cx="1206723" cy="818104"/>
      </dsp:txXfrm>
    </dsp:sp>
    <dsp:sp modelId="{D5B161FD-1DC9-4E69-875D-3A4A5FA05D78}">
      <dsp:nvSpPr>
        <dsp:cNvPr id="0" name=""/>
        <dsp:cNvSpPr/>
      </dsp:nvSpPr>
      <dsp:spPr>
        <a:xfrm>
          <a:off x="2372047" y="1397037"/>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372047" y="1397037"/>
        <a:ext cx="942045" cy="732783"/>
      </dsp:txXfrm>
    </dsp:sp>
    <dsp:sp modelId="{762BC45A-B3D7-4C89-BE27-B0FB40064C1B}">
      <dsp:nvSpPr>
        <dsp:cNvPr id="0" name=""/>
        <dsp:cNvSpPr/>
      </dsp:nvSpPr>
      <dsp:spPr>
        <a:xfrm rot="5400000">
          <a:off x="2354546" y="3181941"/>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150696" y="2329020"/>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&amp; Adjustment</a:t>
          </a:r>
          <a:br>
            <a:rPr lang="en-US" sz="1200" kern="1200"/>
          </a:br>
          <a:r>
            <a:rPr lang="en-US" sz="1200" kern="1200"/>
            <a:t>Worksheets</a:t>
          </a:r>
        </a:p>
      </dsp:txBody>
      <dsp:txXfrm>
        <a:off x="2194962" y="2373286"/>
        <a:ext cx="1206723" cy="818104"/>
      </dsp:txXfrm>
    </dsp:sp>
    <dsp:sp modelId="{0013210A-1BD1-4791-8949-6402BC5EDDE9}">
      <dsp:nvSpPr>
        <dsp:cNvPr id="0" name=""/>
        <dsp:cNvSpPr/>
      </dsp:nvSpPr>
      <dsp:spPr>
        <a:xfrm>
          <a:off x="3445951" y="2415489"/>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224600" y="3347472"/>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 </a:t>
          </a:r>
        </a:p>
      </dsp:txBody>
      <dsp:txXfrm>
        <a:off x="3268866" y="3391738"/>
        <a:ext cx="1206723" cy="818104"/>
      </dsp:txXfrm>
    </dsp:sp>
    <dsp:sp modelId="{508C161B-F096-4451-A84C-8D444A0957CF}">
      <dsp:nvSpPr>
        <dsp:cNvPr id="0" name=""/>
        <dsp:cNvSpPr/>
      </dsp:nvSpPr>
      <dsp:spPr>
        <a:xfrm>
          <a:off x="4519855" y="3433941"/>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80010" tIns="80010" rIns="80010" bIns="80010" numCol="1" spcCol="1270" anchor="ctr" anchorCtr="0">
          <a:noAutofit/>
        </a:bodyPr>
        <a:lstStyle/>
        <a:p>
          <a:pPr marL="171450" lvl="1" indent="-171450" algn="ctr" defTabSz="711200">
            <a:lnSpc>
              <a:spcPct val="90000"/>
            </a:lnSpc>
            <a:spcBef>
              <a:spcPct val="0"/>
            </a:spcBef>
            <a:spcAft>
              <a:spcPct val="15000"/>
            </a:spcAft>
            <a:buChar char="••"/>
          </a:pPr>
          <a:r>
            <a:rPr lang="en-US" sz="1600" kern="1200"/>
            <a:t>Section 3-5</a:t>
          </a:r>
        </a:p>
      </dsp:txBody>
      <dsp:txXfrm>
        <a:off x="4519855" y="3433941"/>
        <a:ext cx="942045" cy="732783"/>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D7" sqref="D7"/>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1"/>
      <c r="C1" s="461"/>
      <c r="D1" s="461"/>
    </row>
    <row r="2" s="320"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4" t="s">
        <v>1</v>
      </c>
      <c r="C7" s="434"/>
      <c r="D7" s="9" t="str">
        <f>IF(ISBLANK('1. Information'!D8),"",'1. Information'!D8)</f>
        <v>San Diego</v>
      </c>
      <c r="F7" s="94" t="s">
        <v>2</v>
      </c>
      <c r="G7" s="109">
        <f>IF(ISBLANK('1. Information'!D7),"",'1. Information'!D7)</f>
        <v>43452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60" t="s">
        <v>30</v>
      </c>
      <c r="G12" s="460"/>
      <c r="H12" s="460"/>
      <c r="I12" s="460"/>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D7" sqref="D7"/>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4" t="s">
        <v>1</v>
      </c>
      <c r="C7" s="434"/>
      <c r="D7" s="9" t="str">
        <f>IF(ISBLANK('1. Information'!D8),"",'1. Information'!D8)</f>
        <v>San Diego</v>
      </c>
      <c r="E7" s="3"/>
      <c r="F7" s="97" t="s">
        <v>178</v>
      </c>
      <c r="G7" s="109">
        <f>IF(ISBLANK('1. Information'!D7),"",'1. Information'!D7)</f>
        <v>43452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45">
      <c r="B13" s="101">
        <v>1</v>
      </c>
      <c r="C13" s="132">
        <f aca="true" t="shared" si="0" ref="C13:C42">IF(F13&lt;&gt;0,VLOOKUP($D$7,Info_County_Code,2,FALSE),"")</f>
        <v>37</v>
      </c>
      <c r="D13" s="149" t="s">
        <v>34</v>
      </c>
      <c r="E13" s="336" t="s">
        <v>290</v>
      </c>
      <c r="F13" s="335">
        <v>-1630085.76</v>
      </c>
      <c r="G13" s="363" t="s">
        <v>327</v>
      </c>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15.7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15.75">
      <c r="B82" s="76" t="s">
        <v>134</v>
      </c>
      <c r="C82" s="56" t="s">
        <v>11</v>
      </c>
      <c r="D82" s="56" t="s">
        <v>191</v>
      </c>
      <c r="E82" s="355" t="s">
        <v>110</v>
      </c>
      <c r="F82" s="31" t="s">
        <v>112</v>
      </c>
      <c r="G82" s="355" t="s">
        <v>113</v>
      </c>
    </row>
    <row r="83" spans="2:7" ht="15">
      <c r="B83" s="101">
        <v>1</v>
      </c>
      <c r="C83" s="132" t="str">
        <f aca="true" t="shared" si="2" ref="C83:C112">IF(F83&lt;&gt;0,VLOOKUP($D$7,Info_County_Code,2,FALSE),"")</f>
        <v/>
      </c>
      <c r="D83" s="157" t="s">
        <v>192</v>
      </c>
      <c r="E83" s="336"/>
      <c r="F83" s="150"/>
      <c r="G83" s="363"/>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D7" sqref="D7"/>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1"/>
      <c r="C1" s="461"/>
      <c r="D1" s="461"/>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4" t="s">
        <v>1</v>
      </c>
      <c r="C7" s="434"/>
      <c r="D7" s="9" t="str">
        <f>IF(ISBLANK('1. Information'!D8),"",'1. Information'!D8)</f>
        <v>San Diego</v>
      </c>
      <c r="F7" s="94" t="s">
        <v>2</v>
      </c>
      <c r="G7" s="38">
        <f>IF(ISBLANK('1. Information'!D7),"",'1. Information'!D7)</f>
        <v>43452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9"/>
      <c r="G13" s="92"/>
      <c r="H13" s="92"/>
      <c r="I13" s="91">
        <f>SUM(G13:H13)</f>
        <v>0</v>
      </c>
    </row>
    <row r="14" spans="2:9" ht="15">
      <c r="B14" s="101">
        <v>2</v>
      </c>
      <c r="C14" s="132" t="str">
        <f t="shared" si="0"/>
        <v/>
      </c>
      <c r="D14" s="378"/>
      <c r="E14" s="149"/>
      <c r="F14" s="389"/>
      <c r="G14" s="92"/>
      <c r="H14" s="92"/>
      <c r="I14" s="91">
        <f aca="true" t="shared" si="1" ref="I14:I52">SUM(G14:H14)</f>
        <v>0</v>
      </c>
    </row>
    <row r="15" spans="2:9" ht="15">
      <c r="B15" s="101">
        <v>3</v>
      </c>
      <c r="C15" s="132" t="str">
        <f t="shared" si="0"/>
        <v/>
      </c>
      <c r="D15" s="378"/>
      <c r="E15" s="149"/>
      <c r="F15" s="389"/>
      <c r="G15" s="92"/>
      <c r="H15" s="92"/>
      <c r="I15" s="91">
        <f t="shared" si="1"/>
        <v>0</v>
      </c>
    </row>
    <row r="16" spans="2:9" ht="15">
      <c r="B16" s="101">
        <v>4</v>
      </c>
      <c r="C16" s="132" t="str">
        <f t="shared" si="0"/>
        <v/>
      </c>
      <c r="D16" s="378"/>
      <c r="E16" s="149"/>
      <c r="F16" s="389"/>
      <c r="G16" s="92"/>
      <c r="H16" s="92"/>
      <c r="I16" s="91">
        <f t="shared" si="1"/>
        <v>0</v>
      </c>
    </row>
    <row r="17" spans="2:9" ht="15">
      <c r="B17" s="101">
        <v>5</v>
      </c>
      <c r="C17" s="132" t="str">
        <f t="shared" si="0"/>
        <v/>
      </c>
      <c r="D17" s="378"/>
      <c r="E17" s="149"/>
      <c r="F17" s="389"/>
      <c r="G17" s="92"/>
      <c r="H17" s="92"/>
      <c r="I17" s="91">
        <f t="shared" si="1"/>
        <v>0</v>
      </c>
    </row>
    <row r="18" spans="2:9" ht="15">
      <c r="B18" s="101">
        <v>6</v>
      </c>
      <c r="C18" s="132" t="str">
        <f t="shared" si="0"/>
        <v/>
      </c>
      <c r="D18" s="378"/>
      <c r="E18" s="149"/>
      <c r="F18" s="389"/>
      <c r="G18" s="92"/>
      <c r="H18" s="92"/>
      <c r="I18" s="91">
        <f t="shared" si="1"/>
        <v>0</v>
      </c>
    </row>
    <row r="19" spans="2:9" ht="15">
      <c r="B19" s="101">
        <v>7</v>
      </c>
      <c r="C19" s="132" t="str">
        <f t="shared" si="0"/>
        <v/>
      </c>
      <c r="D19" s="378"/>
      <c r="E19" s="149"/>
      <c r="F19" s="389"/>
      <c r="G19" s="92"/>
      <c r="H19" s="92"/>
      <c r="I19" s="91">
        <f t="shared" si="1"/>
        <v>0</v>
      </c>
    </row>
    <row r="20" spans="2:9" ht="15">
      <c r="B20" s="101">
        <v>8</v>
      </c>
      <c r="C20" s="132" t="str">
        <f t="shared" si="0"/>
        <v/>
      </c>
      <c r="D20" s="378"/>
      <c r="E20" s="149"/>
      <c r="F20" s="389"/>
      <c r="G20" s="92"/>
      <c r="H20" s="92"/>
      <c r="I20" s="91">
        <f t="shared" si="1"/>
        <v>0</v>
      </c>
    </row>
    <row r="21" spans="2:9" ht="15">
      <c r="B21" s="101">
        <v>9</v>
      </c>
      <c r="C21" s="132" t="str">
        <f t="shared" si="0"/>
        <v/>
      </c>
      <c r="D21" s="378"/>
      <c r="E21" s="149"/>
      <c r="F21" s="389"/>
      <c r="G21" s="92"/>
      <c r="H21" s="92"/>
      <c r="I21" s="91">
        <f t="shared" si="1"/>
        <v>0</v>
      </c>
    </row>
    <row r="22" spans="2:9" ht="15">
      <c r="B22" s="101">
        <v>10</v>
      </c>
      <c r="C22" s="132" t="str">
        <f t="shared" si="0"/>
        <v/>
      </c>
      <c r="D22" s="378"/>
      <c r="E22" s="149"/>
      <c r="F22" s="389"/>
      <c r="G22" s="92"/>
      <c r="H22" s="92"/>
      <c r="I22" s="91">
        <f t="shared" si="1"/>
        <v>0</v>
      </c>
    </row>
    <row r="23" spans="2:9" ht="15">
      <c r="B23" s="101">
        <v>11</v>
      </c>
      <c r="C23" s="132" t="str">
        <f t="shared" si="0"/>
        <v/>
      </c>
      <c r="D23" s="378"/>
      <c r="E23" s="149"/>
      <c r="F23" s="389"/>
      <c r="G23" s="92"/>
      <c r="H23" s="92"/>
      <c r="I23" s="91">
        <f t="shared" si="1"/>
        <v>0</v>
      </c>
    </row>
    <row r="24" spans="2:9" ht="15">
      <c r="B24" s="101">
        <v>12</v>
      </c>
      <c r="C24" s="132" t="str">
        <f t="shared" si="0"/>
        <v/>
      </c>
      <c r="D24" s="378"/>
      <c r="E24" s="149"/>
      <c r="F24" s="389"/>
      <c r="G24" s="92"/>
      <c r="H24" s="92"/>
      <c r="I24" s="91">
        <f t="shared" si="1"/>
        <v>0</v>
      </c>
    </row>
    <row r="25" spans="2:9" ht="15">
      <c r="B25" s="101">
        <v>13</v>
      </c>
      <c r="C25" s="132" t="str">
        <f t="shared" si="0"/>
        <v/>
      </c>
      <c r="D25" s="378"/>
      <c r="E25" s="149"/>
      <c r="F25" s="389"/>
      <c r="G25" s="92"/>
      <c r="H25" s="92"/>
      <c r="I25" s="91">
        <f t="shared" si="1"/>
        <v>0</v>
      </c>
    </row>
    <row r="26" spans="2:9" ht="15">
      <c r="B26" s="101">
        <v>14</v>
      </c>
      <c r="C26" s="132" t="str">
        <f t="shared" si="0"/>
        <v/>
      </c>
      <c r="D26" s="378"/>
      <c r="E26" s="149"/>
      <c r="F26" s="389"/>
      <c r="G26" s="92"/>
      <c r="H26" s="92"/>
      <c r="I26" s="91">
        <f t="shared" si="1"/>
        <v>0</v>
      </c>
    </row>
    <row r="27" spans="2:9" ht="15">
      <c r="B27" s="101">
        <v>15</v>
      </c>
      <c r="C27" s="132" t="str">
        <f t="shared" si="0"/>
        <v/>
      </c>
      <c r="D27" s="378"/>
      <c r="E27" s="149"/>
      <c r="F27" s="389"/>
      <c r="G27" s="92"/>
      <c r="H27" s="92"/>
      <c r="I27" s="91">
        <f t="shared" si="1"/>
        <v>0</v>
      </c>
    </row>
    <row r="28" spans="2:11" ht="15">
      <c r="B28" s="101">
        <v>16</v>
      </c>
      <c r="C28" s="132" t="str">
        <f t="shared" si="0"/>
        <v/>
      </c>
      <c r="D28" s="378"/>
      <c r="E28" s="149"/>
      <c r="F28" s="389"/>
      <c r="G28" s="92"/>
      <c r="H28" s="92"/>
      <c r="I28" s="91">
        <f t="shared" si="1"/>
        <v>0</v>
      </c>
      <c r="K28" s="220"/>
    </row>
    <row r="29" spans="2:9" ht="15">
      <c r="B29" s="101">
        <v>17</v>
      </c>
      <c r="C29" s="132" t="str">
        <f t="shared" si="0"/>
        <v/>
      </c>
      <c r="D29" s="378"/>
      <c r="E29" s="149"/>
      <c r="F29" s="389"/>
      <c r="G29" s="92"/>
      <c r="H29" s="92"/>
      <c r="I29" s="91">
        <f t="shared" si="1"/>
        <v>0</v>
      </c>
    </row>
    <row r="30" spans="2:9" ht="15">
      <c r="B30" s="101">
        <v>18</v>
      </c>
      <c r="C30" s="132" t="str">
        <f t="shared" si="0"/>
        <v/>
      </c>
      <c r="D30" s="378"/>
      <c r="E30" s="149"/>
      <c r="F30" s="389"/>
      <c r="G30" s="92"/>
      <c r="H30" s="92"/>
      <c r="I30" s="91">
        <f t="shared" si="1"/>
        <v>0</v>
      </c>
    </row>
    <row r="31" spans="2:9" ht="15">
      <c r="B31" s="101">
        <v>19</v>
      </c>
      <c r="C31" s="132" t="str">
        <f t="shared" si="0"/>
        <v/>
      </c>
      <c r="D31" s="378"/>
      <c r="E31" s="149"/>
      <c r="F31" s="389"/>
      <c r="G31" s="92"/>
      <c r="H31" s="92"/>
      <c r="I31" s="91">
        <f t="shared" si="1"/>
        <v>0</v>
      </c>
    </row>
    <row r="32" spans="2:9" ht="15">
      <c r="B32" s="101">
        <v>20</v>
      </c>
      <c r="C32" s="132" t="str">
        <f t="shared" si="0"/>
        <v/>
      </c>
      <c r="D32" s="378"/>
      <c r="E32" s="149"/>
      <c r="F32" s="389"/>
      <c r="G32" s="92"/>
      <c r="H32" s="92"/>
      <c r="I32" s="91">
        <f t="shared" si="1"/>
        <v>0</v>
      </c>
    </row>
    <row r="33" spans="2:9" ht="15">
      <c r="B33" s="101">
        <v>21</v>
      </c>
      <c r="C33" s="132" t="str">
        <f t="shared" si="0"/>
        <v/>
      </c>
      <c r="D33" s="378"/>
      <c r="E33" s="149"/>
      <c r="F33" s="389"/>
      <c r="G33" s="92"/>
      <c r="H33" s="92"/>
      <c r="I33" s="91">
        <f t="shared" si="1"/>
        <v>0</v>
      </c>
    </row>
    <row r="34" spans="2:9" ht="15">
      <c r="B34" s="101">
        <v>22</v>
      </c>
      <c r="C34" s="132" t="str">
        <f t="shared" si="0"/>
        <v/>
      </c>
      <c r="D34" s="378"/>
      <c r="E34" s="149"/>
      <c r="F34" s="389"/>
      <c r="G34" s="92"/>
      <c r="H34" s="92"/>
      <c r="I34" s="91">
        <f t="shared" si="1"/>
        <v>0</v>
      </c>
    </row>
    <row r="35" spans="2:9" ht="15">
      <c r="B35" s="101">
        <v>23</v>
      </c>
      <c r="C35" s="132" t="str">
        <f t="shared" si="0"/>
        <v/>
      </c>
      <c r="D35" s="378"/>
      <c r="E35" s="149"/>
      <c r="F35" s="389"/>
      <c r="G35" s="92"/>
      <c r="H35" s="92"/>
      <c r="I35" s="91">
        <f t="shared" si="1"/>
        <v>0</v>
      </c>
    </row>
    <row r="36" spans="2:9" ht="15">
      <c r="B36" s="101">
        <v>24</v>
      </c>
      <c r="C36" s="132" t="str">
        <f t="shared" si="0"/>
        <v/>
      </c>
      <c r="D36" s="378"/>
      <c r="E36" s="149"/>
      <c r="F36" s="389"/>
      <c r="G36" s="92"/>
      <c r="H36" s="92"/>
      <c r="I36" s="91">
        <f t="shared" si="1"/>
        <v>0</v>
      </c>
    </row>
    <row r="37" spans="2:9" ht="15">
      <c r="B37" s="101">
        <v>25</v>
      </c>
      <c r="C37" s="132" t="str">
        <f t="shared" si="0"/>
        <v/>
      </c>
      <c r="D37" s="378"/>
      <c r="E37" s="149"/>
      <c r="F37" s="389"/>
      <c r="G37" s="92"/>
      <c r="H37" s="92"/>
      <c r="I37" s="91">
        <f t="shared" si="1"/>
        <v>0</v>
      </c>
    </row>
    <row r="38" spans="2:9" ht="15">
      <c r="B38" s="101">
        <v>26</v>
      </c>
      <c r="C38" s="132" t="str">
        <f t="shared" si="0"/>
        <v/>
      </c>
      <c r="D38" s="378"/>
      <c r="E38" s="149"/>
      <c r="F38" s="389"/>
      <c r="G38" s="92"/>
      <c r="H38" s="92"/>
      <c r="I38" s="91">
        <f t="shared" si="1"/>
        <v>0</v>
      </c>
    </row>
    <row r="39" spans="2:9" ht="15">
      <c r="B39" s="101">
        <v>27</v>
      </c>
      <c r="C39" s="132" t="str">
        <f t="shared" si="0"/>
        <v/>
      </c>
      <c r="D39" s="378"/>
      <c r="E39" s="149"/>
      <c r="F39" s="389"/>
      <c r="G39" s="92"/>
      <c r="H39" s="92"/>
      <c r="I39" s="91">
        <f t="shared" si="1"/>
        <v>0</v>
      </c>
    </row>
    <row r="40" spans="2:9" ht="15">
      <c r="B40" s="101">
        <v>28</v>
      </c>
      <c r="C40" s="132" t="str">
        <f t="shared" si="0"/>
        <v/>
      </c>
      <c r="D40" s="378"/>
      <c r="E40" s="149"/>
      <c r="F40" s="389"/>
      <c r="G40" s="92"/>
      <c r="H40" s="92"/>
      <c r="I40" s="91">
        <f t="shared" si="1"/>
        <v>0</v>
      </c>
    </row>
    <row r="41" spans="2:9" ht="15">
      <c r="B41" s="101">
        <v>29</v>
      </c>
      <c r="C41" s="132" t="str">
        <f t="shared" si="0"/>
        <v/>
      </c>
      <c r="D41" s="378"/>
      <c r="E41" s="149"/>
      <c r="F41" s="389"/>
      <c r="G41" s="92"/>
      <c r="H41" s="92"/>
      <c r="I41" s="91">
        <f t="shared" si="1"/>
        <v>0</v>
      </c>
    </row>
    <row r="42" spans="2:9" ht="15">
      <c r="B42" s="101">
        <v>30</v>
      </c>
      <c r="C42" s="132" t="str">
        <f t="shared" si="0"/>
        <v/>
      </c>
      <c r="D42" s="378"/>
      <c r="E42" s="149"/>
      <c r="F42" s="389"/>
      <c r="G42" s="92"/>
      <c r="H42" s="92"/>
      <c r="I42" s="91">
        <f t="shared" si="1"/>
        <v>0</v>
      </c>
    </row>
    <row r="43" spans="2:9" ht="15">
      <c r="B43" s="101">
        <v>31</v>
      </c>
      <c r="C43" s="132" t="str">
        <f t="shared" si="0"/>
        <v/>
      </c>
      <c r="D43" s="378"/>
      <c r="E43" s="149"/>
      <c r="F43" s="389"/>
      <c r="G43" s="92"/>
      <c r="H43" s="92"/>
      <c r="I43" s="91">
        <f t="shared" si="1"/>
        <v>0</v>
      </c>
    </row>
    <row r="44" spans="2:9" ht="15">
      <c r="B44" s="101">
        <v>32</v>
      </c>
      <c r="C44" s="132" t="str">
        <f t="shared" si="0"/>
        <v/>
      </c>
      <c r="D44" s="378"/>
      <c r="E44" s="149"/>
      <c r="F44" s="389"/>
      <c r="G44" s="92"/>
      <c r="H44" s="92"/>
      <c r="I44" s="91">
        <f t="shared" si="1"/>
        <v>0</v>
      </c>
    </row>
    <row r="45" spans="2:9" ht="15">
      <c r="B45" s="101">
        <v>33</v>
      </c>
      <c r="C45" s="132" t="str">
        <f t="shared" si="0"/>
        <v/>
      </c>
      <c r="D45" s="378"/>
      <c r="E45" s="149"/>
      <c r="F45" s="389"/>
      <c r="G45" s="92"/>
      <c r="H45" s="92"/>
      <c r="I45" s="91">
        <f t="shared" si="1"/>
        <v>0</v>
      </c>
    </row>
    <row r="46" spans="2:9" ht="15">
      <c r="B46" s="101">
        <v>34</v>
      </c>
      <c r="C46" s="132" t="str">
        <f t="shared" si="0"/>
        <v/>
      </c>
      <c r="D46" s="378"/>
      <c r="E46" s="149"/>
      <c r="F46" s="389"/>
      <c r="G46" s="92"/>
      <c r="H46" s="92"/>
      <c r="I46" s="91">
        <f t="shared" si="1"/>
        <v>0</v>
      </c>
    </row>
    <row r="47" spans="2:9" ht="15">
      <c r="B47" s="101">
        <v>35</v>
      </c>
      <c r="C47" s="132" t="str">
        <f t="shared" si="0"/>
        <v/>
      </c>
      <c r="D47" s="378"/>
      <c r="E47" s="149"/>
      <c r="F47" s="389"/>
      <c r="G47" s="92"/>
      <c r="H47" s="92"/>
      <c r="I47" s="91">
        <f t="shared" si="1"/>
        <v>0</v>
      </c>
    </row>
    <row r="48" spans="2:9" ht="15">
      <c r="B48" s="101">
        <v>36</v>
      </c>
      <c r="C48" s="132" t="str">
        <f t="shared" si="0"/>
        <v/>
      </c>
      <c r="D48" s="378"/>
      <c r="E48" s="149"/>
      <c r="F48" s="389"/>
      <c r="G48" s="92"/>
      <c r="H48" s="92"/>
      <c r="I48" s="91">
        <f t="shared" si="1"/>
        <v>0</v>
      </c>
    </row>
    <row r="49" spans="2:9" ht="15">
      <c r="B49" s="101">
        <v>37</v>
      </c>
      <c r="C49" s="132" t="str">
        <f t="shared" si="0"/>
        <v/>
      </c>
      <c r="D49" s="378"/>
      <c r="E49" s="149"/>
      <c r="F49" s="389"/>
      <c r="G49" s="92"/>
      <c r="H49" s="92"/>
      <c r="I49" s="91">
        <f t="shared" si="1"/>
        <v>0</v>
      </c>
    </row>
    <row r="50" spans="2:9" ht="15">
      <c r="B50" s="101">
        <v>38</v>
      </c>
      <c r="C50" s="132" t="str">
        <f t="shared" si="0"/>
        <v/>
      </c>
      <c r="D50" s="378"/>
      <c r="E50" s="149"/>
      <c r="F50" s="389"/>
      <c r="G50" s="92"/>
      <c r="H50" s="92"/>
      <c r="I50" s="91">
        <f t="shared" si="1"/>
        <v>0</v>
      </c>
    </row>
    <row r="51" spans="2:9" ht="15">
      <c r="B51" s="101">
        <v>39</v>
      </c>
      <c r="C51" s="132" t="str">
        <f t="shared" si="0"/>
        <v/>
      </c>
      <c r="D51" s="378"/>
      <c r="E51" s="149"/>
      <c r="F51" s="389"/>
      <c r="G51" s="92"/>
      <c r="H51" s="92"/>
      <c r="I51" s="91">
        <f t="shared" si="1"/>
        <v>0</v>
      </c>
    </row>
    <row r="52" spans="2:9" ht="15">
      <c r="B52" s="101">
        <v>40</v>
      </c>
      <c r="C52" s="132" t="str">
        <f t="shared" si="0"/>
        <v/>
      </c>
      <c r="D52" s="378"/>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7" sqref="C7"/>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65.25" customHeight="1">
      <c r="B8" s="247">
        <v>1</v>
      </c>
      <c r="C8" s="252" t="s">
        <v>498</v>
      </c>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1200" verticalDpi="12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9" t="s">
        <v>169</v>
      </c>
      <c r="B1" s="470"/>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2" t="s">
        <v>198</v>
      </c>
      <c r="B2" s="472"/>
      <c r="C2" s="472"/>
      <c r="D2" s="472"/>
      <c r="E2" s="472"/>
    </row>
    <row r="3" spans="1:5" ht="14.25" customHeight="1">
      <c r="A3" s="472" t="s">
        <v>307</v>
      </c>
      <c r="B3" s="472"/>
      <c r="C3" s="472"/>
      <c r="D3" s="472"/>
      <c r="E3" s="472"/>
    </row>
    <row r="4" spans="1:4" ht="14.25" customHeight="1" thickBot="1">
      <c r="A4" s="173"/>
      <c r="B4" s="174"/>
      <c r="C4" s="175"/>
      <c r="D4" s="176"/>
    </row>
    <row r="5" spans="1:5" ht="14.25" customHeight="1">
      <c r="A5" s="177" t="s">
        <v>199</v>
      </c>
      <c r="B5" s="471" t="s">
        <v>200</v>
      </c>
      <c r="C5" s="471"/>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tabSelected="1" zoomScale="70" zoomScaleNormal="70" zoomScaleSheetLayoutView="70" workbookViewId="0" topLeftCell="A1">
      <selection activeCell="B4" sqref="B4"/>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30" t="s">
        <v>280</v>
      </c>
      <c r="C7" s="428"/>
      <c r="F7" s="224"/>
    </row>
    <row r="8" spans="2:7" ht="55.5" customHeight="1">
      <c r="B8" s="431" t="s">
        <v>281</v>
      </c>
      <c r="C8" s="432"/>
      <c r="F8" s="222"/>
      <c r="G8" s="224"/>
    </row>
    <row r="9" spans="2:6" ht="39.95" customHeight="1">
      <c r="B9" s="431" t="s">
        <v>279</v>
      </c>
      <c r="C9" s="432"/>
      <c r="E9" s="222"/>
      <c r="F9" s="223"/>
    </row>
    <row r="10" spans="2:4" ht="39.95" customHeight="1">
      <c r="B10" s="432" t="s">
        <v>264</v>
      </c>
      <c r="C10" s="432"/>
      <c r="D10" s="221"/>
    </row>
    <row r="11" ht="15"/>
    <row r="12" spans="2:3" ht="29.25" customHeight="1">
      <c r="B12" s="428" t="s">
        <v>266</v>
      </c>
      <c r="C12" s="429" t="s">
        <v>272</v>
      </c>
    </row>
    <row r="13" spans="2:3" ht="18" customHeight="1">
      <c r="B13" s="428"/>
      <c r="C13" s="428"/>
    </row>
    <row r="14" spans="2:3" ht="60.75" customHeight="1">
      <c r="B14" s="425" t="s">
        <v>267</v>
      </c>
      <c r="C14" s="380" t="s">
        <v>311</v>
      </c>
    </row>
    <row r="15" spans="2:3" ht="68.25" customHeight="1">
      <c r="B15" s="426"/>
      <c r="C15" s="381" t="s">
        <v>321</v>
      </c>
    </row>
    <row r="16" spans="2:3" ht="66" customHeight="1">
      <c r="B16" s="427"/>
      <c r="C16" s="380"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24">
        <v>43452</v>
      </c>
    </row>
    <row r="8" spans="1:4" ht="34.5" customHeight="1">
      <c r="A8" s="99"/>
      <c r="B8" s="130">
        <v>2</v>
      </c>
      <c r="C8" s="102" t="s">
        <v>1</v>
      </c>
      <c r="D8" s="364" t="s">
        <v>79</v>
      </c>
    </row>
    <row r="9" spans="1:4" ht="34.5" customHeight="1">
      <c r="A9" s="99"/>
      <c r="B9" s="130">
        <v>3</v>
      </c>
      <c r="C9" s="103" t="s">
        <v>125</v>
      </c>
      <c r="D9" s="104">
        <f>IF(ISBLANK(D8),"",VLOOKUP(D8,Info_County_Code,2))</f>
        <v>37</v>
      </c>
    </row>
    <row r="10" spans="1:4" ht="34.5" customHeight="1">
      <c r="A10" s="99"/>
      <c r="B10" s="130">
        <v>4</v>
      </c>
      <c r="C10" s="102" t="s">
        <v>126</v>
      </c>
      <c r="D10" s="417" t="s">
        <v>322</v>
      </c>
    </row>
    <row r="11" spans="1:4" ht="34.5" customHeight="1">
      <c r="A11" s="99"/>
      <c r="B11" s="130">
        <v>5</v>
      </c>
      <c r="C11" s="102" t="s">
        <v>127</v>
      </c>
      <c r="D11" s="364" t="s">
        <v>79</v>
      </c>
    </row>
    <row r="12" spans="1:4" ht="34.5" customHeight="1">
      <c r="A12" s="99"/>
      <c r="B12" s="130">
        <v>6</v>
      </c>
      <c r="C12" s="102" t="s">
        <v>128</v>
      </c>
      <c r="D12" s="243">
        <v>92101</v>
      </c>
    </row>
    <row r="13" spans="1:4" ht="34.5" customHeight="1">
      <c r="A13" s="99"/>
      <c r="B13" s="130">
        <v>7</v>
      </c>
      <c r="C13" s="105" t="s">
        <v>185</v>
      </c>
      <c r="D13" s="106" t="str">
        <f>IF(ISBLANK(D8),"",VLOOKUP(D8,County_Population,5,FALSE))</f>
        <v>Yes</v>
      </c>
    </row>
    <row r="14" spans="1:4" ht="34.5" customHeight="1">
      <c r="A14" s="99"/>
      <c r="B14" s="130">
        <v>8</v>
      </c>
      <c r="C14" s="102" t="s">
        <v>124</v>
      </c>
      <c r="D14" s="364" t="s">
        <v>323</v>
      </c>
    </row>
    <row r="15" spans="1:4" ht="34.5" customHeight="1">
      <c r="A15" s="99"/>
      <c r="B15" s="130">
        <v>9</v>
      </c>
      <c r="C15" s="382" t="s">
        <v>193</v>
      </c>
      <c r="D15" s="418" t="s">
        <v>324</v>
      </c>
    </row>
    <row r="16" spans="1:4" ht="34.5" customHeight="1">
      <c r="A16" s="99"/>
      <c r="B16" s="130">
        <v>10</v>
      </c>
      <c r="C16" s="382" t="s">
        <v>211</v>
      </c>
      <c r="D16" s="418" t="s">
        <v>325</v>
      </c>
    </row>
    <row r="17" spans="1:4" ht="34.5" customHeight="1">
      <c r="A17" s="99"/>
      <c r="B17" s="130">
        <v>11</v>
      </c>
      <c r="C17" s="102" t="s">
        <v>194</v>
      </c>
      <c r="D17" s="419"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80" zoomScaleNormal="80" zoomScaleSheetLayoutView="40" workbookViewId="0" topLeftCell="A1">
      <pane xSplit="3" ySplit="20" topLeftCell="E31" activePane="bottomRight" state="frozen"/>
      <selection pane="topRight" activeCell="D1" sqref="D1"/>
      <selection pane="bottomLeft" activeCell="A16" sqref="A16"/>
      <selection pane="bottomRight" activeCell="C7" sqref="C7"/>
    </sheetView>
  </sheetViews>
  <sheetFormatPr defaultColWidth="9.140625" defaultRowHeight="15" zeroHeight="1"/>
  <cols>
    <col min="1" max="1" width="5.28125" style="346" customWidth="1"/>
    <col min="2" max="2" width="12.57421875" style="257" customWidth="1"/>
    <col min="3" max="3" width="60.7109375" style="257" customWidth="1"/>
    <col min="4" max="13" width="22.7109375" style="257" customWidth="1"/>
    <col min="14" max="14" width="24.00390625" style="257" bestFit="1" customWidth="1"/>
    <col min="15" max="15" width="9.140625" style="346" customWidth="1"/>
    <col min="16" max="16384" width="9.140625" style="346" customWidth="1"/>
  </cols>
  <sheetData>
    <row r="1" ht="15"/>
    <row r="2" s="277" customFormat="1" ht="15">
      <c r="B2" s="391"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San Diego</v>
      </c>
      <c r="F7" s="359" t="s">
        <v>2</v>
      </c>
      <c r="G7" s="258">
        <f>IF(ISBLANK('1. Information'!D7),"",'1. Information'!D7)</f>
        <v>43452</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2555542.08</v>
      </c>
      <c r="E15" s="259"/>
      <c r="F15" s="259"/>
      <c r="G15" s="90"/>
      <c r="H15" s="259"/>
      <c r="I15" s="259"/>
      <c r="J15" s="259"/>
      <c r="K15" s="259"/>
      <c r="L15" s="259"/>
      <c r="M15" s="259"/>
      <c r="N15" s="259"/>
    </row>
    <row r="16" spans="2:14" ht="15">
      <c r="B16" s="24">
        <v>2</v>
      </c>
      <c r="C16" s="331" t="s">
        <v>306</v>
      </c>
      <c r="D16" s="393">
        <v>42193120</v>
      </c>
      <c r="E16" s="259"/>
      <c r="F16" s="259"/>
      <c r="G16" s="90"/>
      <c r="H16" s="259"/>
      <c r="I16" s="259"/>
      <c r="J16" s="259"/>
      <c r="K16" s="259"/>
      <c r="L16" s="259"/>
      <c r="M16" s="259"/>
      <c r="N16" s="259"/>
    </row>
    <row r="17" spans="2:14" ht="15">
      <c r="B17" s="24">
        <v>3</v>
      </c>
      <c r="C17" s="331" t="s">
        <v>312</v>
      </c>
      <c r="D17" s="91">
        <f>D16+M22+M27+SUM('9. Adjustment (MHSA)'!F83:F112)</f>
        <v>42193120</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c r="E22" s="92"/>
      <c r="F22" s="91"/>
      <c r="G22" s="326"/>
      <c r="H22" s="326"/>
      <c r="I22" s="333"/>
      <c r="J22" s="326"/>
      <c r="K22" s="333"/>
      <c r="L22" s="333"/>
      <c r="M22" s="263">
        <f>(-D22-E22)</f>
        <v>0</v>
      </c>
      <c r="N22" s="332">
        <f>SUM(D22:M22)</f>
        <v>0</v>
      </c>
    </row>
    <row r="23" spans="2:14" ht="24" customHeight="1">
      <c r="B23" s="24">
        <v>5</v>
      </c>
      <c r="C23" s="331" t="s">
        <v>277</v>
      </c>
      <c r="D23" s="263">
        <f>D15*0.76</f>
        <v>1942211.9808</v>
      </c>
      <c r="E23" s="379">
        <f>D15*0.19</f>
        <v>485552.9952</v>
      </c>
      <c r="F23" s="260">
        <f>D15*0.05</f>
        <v>127777.104</v>
      </c>
      <c r="G23" s="326"/>
      <c r="H23" s="326"/>
      <c r="I23" s="326"/>
      <c r="J23" s="333"/>
      <c r="K23" s="326"/>
      <c r="L23" s="326"/>
      <c r="M23" s="326"/>
      <c r="N23" s="332">
        <f>SUM(D23:M23)</f>
        <v>2555542.0799999996</v>
      </c>
    </row>
    <row r="24" spans="2:14" ht="24" customHeight="1">
      <c r="B24" s="24">
        <v>6</v>
      </c>
      <c r="C24" s="265" t="s">
        <v>25</v>
      </c>
      <c r="D24" s="338">
        <f aca="true" t="shared" si="0" ref="D24:L24">SUM(D22:D23)</f>
        <v>1942211.9808</v>
      </c>
      <c r="E24" s="338">
        <f t="shared" si="0"/>
        <v>485552.9952</v>
      </c>
      <c r="F24" s="338">
        <f t="shared" si="0"/>
        <v>127777.104</v>
      </c>
      <c r="G24" s="338">
        <f t="shared" si="0"/>
        <v>0</v>
      </c>
      <c r="H24" s="338">
        <f t="shared" si="0"/>
        <v>0</v>
      </c>
      <c r="I24" s="338">
        <f t="shared" si="0"/>
        <v>0</v>
      </c>
      <c r="J24" s="338">
        <f t="shared" si="0"/>
        <v>0</v>
      </c>
      <c r="K24" s="338">
        <f t="shared" si="0"/>
        <v>0</v>
      </c>
      <c r="L24" s="338">
        <f t="shared" si="0"/>
        <v>0</v>
      </c>
      <c r="M24" s="338">
        <v>0</v>
      </c>
      <c r="N24" s="370">
        <f>SUM(D24:M24)</f>
        <v>2555542.0799999996</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-2900000</v>
      </c>
      <c r="E27" s="333"/>
      <c r="F27" s="333"/>
      <c r="G27" s="263">
        <f>'3. CSS'!F20</f>
        <v>2900000</v>
      </c>
      <c r="H27" s="263">
        <f>'3. CSS'!F21</f>
        <v>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126573169.38999997</v>
      </c>
      <c r="E30" s="263">
        <f>'4. PEI'!F21</f>
        <v>38141670.75692031</v>
      </c>
      <c r="F30" s="263">
        <f>'5. INN'!F22</f>
        <v>6834673.72</v>
      </c>
      <c r="G30" s="263">
        <f>'6. WET'!F20</f>
        <v>2201601.06</v>
      </c>
      <c r="H30" s="263">
        <f>'7. CFTN'!F21</f>
        <v>5344188.88</v>
      </c>
      <c r="I30" s="333"/>
      <c r="J30" s="263">
        <f>'8. WET RP, HP'!E14</f>
        <v>0</v>
      </c>
      <c r="K30" s="263">
        <f>'4. PEI'!F17</f>
        <v>438828</v>
      </c>
      <c r="L30" s="263">
        <f>'8. WET RP, HP'!E15</f>
        <v>0</v>
      </c>
      <c r="M30" s="333"/>
      <c r="N30" s="263">
        <f aca="true" t="shared" si="1" ref="N30:N35">SUM(D30:M30)</f>
        <v>179534131.80692026</v>
      </c>
    </row>
    <row r="31" spans="2:14" ht="24" customHeight="1">
      <c r="B31" s="24">
        <v>9</v>
      </c>
      <c r="C31" s="261" t="s">
        <v>5</v>
      </c>
      <c r="D31" s="260">
        <f>'3. CSS'!G25</f>
        <v>60532634.423692726</v>
      </c>
      <c r="E31" s="260">
        <f>'4. PEI'!G21</f>
        <v>2804713.8916482087</v>
      </c>
      <c r="F31" s="260">
        <f>'5. INN'!G22</f>
        <v>512126.64</v>
      </c>
      <c r="G31" s="260">
        <f>'6. WET'!G20</f>
        <v>0</v>
      </c>
      <c r="H31" s="260">
        <f>'7. CFTN'!G21</f>
        <v>0</v>
      </c>
      <c r="I31" s="7"/>
      <c r="J31" s="260">
        <f>'8. WET RP, HP'!F14</f>
        <v>0</v>
      </c>
      <c r="K31" s="260">
        <f>'4. PEI'!G17</f>
        <v>0</v>
      </c>
      <c r="L31" s="260">
        <f>'8. WET RP, HP'!F15</f>
        <v>0</v>
      </c>
      <c r="M31" s="326"/>
      <c r="N31" s="263">
        <f t="shared" si="1"/>
        <v>63849474.95534094</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c r="B34" s="24">
        <v>12</v>
      </c>
      <c r="C34" s="261" t="s">
        <v>15</v>
      </c>
      <c r="D34" s="260">
        <f>'3. CSS'!J25</f>
        <v>1943289.5139518427</v>
      </c>
      <c r="E34" s="260">
        <f>'4. PEI'!J21</f>
        <v>42546.6914314865</v>
      </c>
      <c r="F34" s="260">
        <f>'5. INN'!J22</f>
        <v>6008.62</v>
      </c>
      <c r="G34" s="260">
        <f>'6. WET'!J20</f>
        <v>0</v>
      </c>
      <c r="H34" s="260">
        <f>'7. CFTN'!J21</f>
        <v>0</v>
      </c>
      <c r="I34" s="7"/>
      <c r="J34" s="260">
        <f>'8. WET RP, HP'!I14</f>
        <v>0</v>
      </c>
      <c r="K34" s="260">
        <f>'4. PEI'!J17</f>
        <v>0</v>
      </c>
      <c r="L34" s="260">
        <f>'8. WET RP, HP'!I15</f>
        <v>0</v>
      </c>
      <c r="M34" s="326"/>
      <c r="N34" s="263">
        <f t="shared" si="1"/>
        <v>1991844.8253833293</v>
      </c>
    </row>
    <row r="35" spans="2:14" ht="24" customHeight="1">
      <c r="B35" s="24">
        <v>13</v>
      </c>
      <c r="C35" s="265" t="s">
        <v>25</v>
      </c>
      <c r="D35" s="266">
        <f>SUM(D30:D34)</f>
        <v>189049093.32764453</v>
      </c>
      <c r="E35" s="266">
        <f aca="true" t="shared" si="2" ref="E35:L35">SUM(E30:E34)</f>
        <v>40988931.34</v>
      </c>
      <c r="F35" s="266">
        <f t="shared" si="2"/>
        <v>7352808.9799999995</v>
      </c>
      <c r="G35" s="266">
        <f t="shared" si="2"/>
        <v>2201601.06</v>
      </c>
      <c r="H35" s="266">
        <f t="shared" si="2"/>
        <v>5344188.88</v>
      </c>
      <c r="I35" s="266">
        <f t="shared" si="2"/>
        <v>0</v>
      </c>
      <c r="J35" s="266">
        <f t="shared" si="2"/>
        <v>0</v>
      </c>
      <c r="K35" s="266">
        <f t="shared" si="2"/>
        <v>438828</v>
      </c>
      <c r="L35" s="266">
        <f t="shared" si="2"/>
        <v>0</v>
      </c>
      <c r="M35" s="7"/>
      <c r="N35" s="338">
        <f t="shared" si="1"/>
        <v>245375451.58764452</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0</v>
      </c>
      <c r="F39" s="90"/>
      <c r="G39" s="259"/>
      <c r="H39" s="259"/>
      <c r="I39" s="259"/>
      <c r="J39" s="259"/>
      <c r="K39" s="259"/>
      <c r="L39" s="259"/>
      <c r="M39" s="259"/>
      <c r="N39" s="346"/>
    </row>
    <row r="40" spans="2:14" ht="15">
      <c r="B40" s="24">
        <v>15</v>
      </c>
      <c r="C40" s="357" t="s">
        <v>23</v>
      </c>
      <c r="D40" s="365">
        <f>'3. CSS'!K15+'4. PEI'!K15+'5. INN'!K19+'6. WET'!K15+'7. CFTN'!K16+'7. CFTN'!K17</f>
        <v>215126.27</v>
      </c>
      <c r="E40" s="262"/>
      <c r="F40" s="259"/>
      <c r="G40" s="259"/>
      <c r="H40" s="259"/>
      <c r="I40" s="259"/>
      <c r="J40" s="259"/>
      <c r="K40" s="259"/>
      <c r="L40" s="259"/>
      <c r="M40" s="259"/>
      <c r="N40" s="346"/>
    </row>
    <row r="41" spans="2:14" ht="15">
      <c r="B41" s="24">
        <v>16</v>
      </c>
      <c r="C41" s="357" t="s">
        <v>24</v>
      </c>
      <c r="D41" s="365">
        <f>'3. CSS'!K16+'4. PEI'!K16+'5. INN'!K15+'5. INN'!K18+'6. WET'!K16+'7. CFTN'!K18+'7. CFTN'!K19</f>
        <v>35368493.71999999</v>
      </c>
      <c r="E41" s="262"/>
      <c r="F41" s="259"/>
      <c r="G41" s="259"/>
      <c r="H41" s="259"/>
      <c r="I41" s="259"/>
      <c r="J41" s="259"/>
      <c r="K41" s="259"/>
      <c r="L41" s="259"/>
      <c r="M41" s="259"/>
      <c r="N41" s="346"/>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
      <selection activeCell="D7" sqref="D7"/>
    </sheetView>
  </sheetViews>
  <sheetFormatPr defaultColWidth="9.140625" defaultRowHeight="15" zeroHeight="1"/>
  <cols>
    <col min="1" max="1" width="2.7109375" style="277" customWidth="1"/>
    <col min="2" max="2" width="6.7109375" style="277" customWidth="1"/>
    <col min="3" max="3" width="13.57421875" style="277" customWidth="1"/>
    <col min="4" max="4" width="113.421875" style="277" customWidth="1"/>
    <col min="5" max="5" width="78.8515625" style="277" customWidth="1"/>
    <col min="6" max="6" width="20.7109375" style="277" customWidth="1"/>
    <col min="7" max="7" width="27.57421875" style="277" bestFit="1" customWidth="1"/>
    <col min="8" max="8" width="21.57421875" style="277" customWidth="1"/>
    <col min="9" max="9" width="25.8515625" style="277" bestFit="1" customWidth="1"/>
    <col min="10" max="10" width="17.7109375" style="277" customWidth="1"/>
    <col min="11" max="11" width="23.00390625" style="277" customWidth="1"/>
    <col min="12" max="12" width="20.140625" style="277" customWidth="1"/>
    <col min="13" max="13" width="40.28125" style="0" customWidth="1"/>
  </cols>
  <sheetData>
    <row r="1" spans="1:12" ht="15">
      <c r="A1" s="280"/>
      <c r="B1" s="433"/>
      <c r="C1" s="433"/>
      <c r="D1" s="433"/>
      <c r="E1" s="280"/>
      <c r="F1" s="280"/>
      <c r="G1" s="280"/>
      <c r="H1" s="280"/>
      <c r="I1" s="280"/>
      <c r="J1" s="280"/>
      <c r="K1" s="280"/>
      <c r="L1" s="280"/>
    </row>
    <row r="2" s="320" customFormat="1" ht="18">
      <c r="B2" s="392"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34" t="s">
        <v>1</v>
      </c>
      <c r="C7" s="434"/>
      <c r="D7" s="9" t="str">
        <f>IF(ISBLANK('1. Information'!D8),"",'1. Information'!D8)</f>
        <v>San Diego</v>
      </c>
      <c r="E7" s="280"/>
      <c r="F7" s="278" t="s">
        <v>2</v>
      </c>
      <c r="G7" s="281">
        <f>IF(ISBLANK('1. Information'!D7),"",'1. Information'!D7)</f>
        <v>43452</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44" t="s">
        <v>30</v>
      </c>
      <c r="H12" s="442"/>
      <c r="I12" s="442"/>
      <c r="J12" s="445"/>
      <c r="K12" s="302"/>
      <c r="L12"/>
    </row>
    <row r="13" spans="1:12" ht="47.25">
      <c r="A13" s="280"/>
      <c r="B13" s="40"/>
      <c r="F13" s="30" t="s">
        <v>300</v>
      </c>
      <c r="G13" s="27" t="s">
        <v>5</v>
      </c>
      <c r="H13" s="44" t="s">
        <v>6</v>
      </c>
      <c r="I13" s="27" t="s">
        <v>31</v>
      </c>
      <c r="J13" s="27" t="s">
        <v>15</v>
      </c>
      <c r="K13" s="301" t="s">
        <v>278</v>
      </c>
      <c r="L13"/>
    </row>
    <row r="14" spans="1:12" ht="15">
      <c r="A14" s="280"/>
      <c r="B14" s="276">
        <v>1</v>
      </c>
      <c r="C14" s="435" t="s">
        <v>7</v>
      </c>
      <c r="D14" s="435"/>
      <c r="E14" s="435"/>
      <c r="F14" s="366"/>
      <c r="G14" s="367"/>
      <c r="H14" s="352"/>
      <c r="I14" s="289"/>
      <c r="J14" s="289"/>
      <c r="K14" s="291">
        <f>SUM(F14:J14)</f>
        <v>0</v>
      </c>
      <c r="L14"/>
    </row>
    <row r="15" spans="1:12" ht="15" customHeight="1">
      <c r="A15" s="280"/>
      <c r="B15" s="276">
        <v>2</v>
      </c>
      <c r="C15" s="435" t="s">
        <v>8</v>
      </c>
      <c r="D15" s="435"/>
      <c r="E15" s="435"/>
      <c r="F15" s="366"/>
      <c r="G15" s="289"/>
      <c r="H15" s="289"/>
      <c r="I15" s="289"/>
      <c r="J15" s="289"/>
      <c r="K15" s="291">
        <f aca="true" t="shared" si="0" ref="K15:K23">SUM(F15:J15)</f>
        <v>0</v>
      </c>
      <c r="L15"/>
    </row>
    <row r="16" spans="1:12" ht="15">
      <c r="A16" s="280"/>
      <c r="B16" s="276">
        <v>3</v>
      </c>
      <c r="C16" s="435" t="s">
        <v>129</v>
      </c>
      <c r="D16" s="435"/>
      <c r="E16" s="435"/>
      <c r="F16" s="366">
        <v>18216708.74</v>
      </c>
      <c r="G16" s="289">
        <v>6125491.32</v>
      </c>
      <c r="H16" s="289"/>
      <c r="I16" s="289"/>
      <c r="J16" s="289">
        <v>102102.72</v>
      </c>
      <c r="K16" s="291">
        <f t="shared" si="0"/>
        <v>24444302.779999997</v>
      </c>
      <c r="L16"/>
    </row>
    <row r="17" spans="1:12" ht="15">
      <c r="A17" s="280"/>
      <c r="B17" s="276">
        <v>4</v>
      </c>
      <c r="C17" s="449" t="s">
        <v>218</v>
      </c>
      <c r="D17" s="449"/>
      <c r="E17" s="449"/>
      <c r="F17" s="366"/>
      <c r="G17" s="289"/>
      <c r="H17" s="289"/>
      <c r="I17" s="289"/>
      <c r="J17" s="289"/>
      <c r="K17" s="291">
        <f t="shared" si="0"/>
        <v>0</v>
      </c>
      <c r="L17"/>
    </row>
    <row r="18" spans="1:12" ht="15">
      <c r="A18" s="280"/>
      <c r="B18" s="276">
        <v>5</v>
      </c>
      <c r="C18" s="449" t="s">
        <v>219</v>
      </c>
      <c r="D18" s="449"/>
      <c r="E18" s="449"/>
      <c r="F18" s="366"/>
      <c r="G18" s="293"/>
      <c r="H18" s="293"/>
      <c r="I18" s="293"/>
      <c r="J18" s="293"/>
      <c r="K18" s="291">
        <f t="shared" si="0"/>
        <v>0</v>
      </c>
      <c r="L18"/>
    </row>
    <row r="19" spans="1:12" ht="15">
      <c r="A19" s="280"/>
      <c r="B19" s="276">
        <v>6</v>
      </c>
      <c r="C19" s="435" t="s">
        <v>216</v>
      </c>
      <c r="D19" s="435"/>
      <c r="E19" s="435"/>
      <c r="F19" s="289">
        <v>10000000</v>
      </c>
      <c r="G19" s="293"/>
      <c r="H19" s="293"/>
      <c r="I19" s="293"/>
      <c r="J19" s="293"/>
      <c r="K19" s="292">
        <f t="shared" si="0"/>
        <v>10000000</v>
      </c>
      <c r="L19"/>
    </row>
    <row r="20" spans="1:12" ht="15">
      <c r="A20" s="282"/>
      <c r="B20" s="255">
        <v>7</v>
      </c>
      <c r="C20" s="446" t="s">
        <v>226</v>
      </c>
      <c r="D20" s="447"/>
      <c r="E20" s="448"/>
      <c r="F20" s="289">
        <v>2900000</v>
      </c>
      <c r="G20" s="292"/>
      <c r="H20" s="292"/>
      <c r="I20" s="292"/>
      <c r="J20" s="292"/>
      <c r="K20" s="292">
        <f t="shared" si="0"/>
        <v>2900000</v>
      </c>
      <c r="L20"/>
    </row>
    <row r="21" spans="1:12" ht="15">
      <c r="A21" s="282"/>
      <c r="B21" s="255">
        <v>8</v>
      </c>
      <c r="C21" s="446" t="s">
        <v>227</v>
      </c>
      <c r="D21" s="447"/>
      <c r="E21" s="448"/>
      <c r="F21" s="289"/>
      <c r="G21" s="292"/>
      <c r="H21" s="292"/>
      <c r="I21" s="292"/>
      <c r="J21" s="292"/>
      <c r="K21" s="292">
        <f t="shared" si="0"/>
        <v>0</v>
      </c>
      <c r="L21"/>
    </row>
    <row r="22" spans="1:12" ht="15">
      <c r="A22" s="282"/>
      <c r="B22" s="255">
        <v>9</v>
      </c>
      <c r="C22" s="446" t="s">
        <v>225</v>
      </c>
      <c r="D22" s="447"/>
      <c r="E22" s="448"/>
      <c r="F22" s="289"/>
      <c r="G22" s="292"/>
      <c r="H22" s="292"/>
      <c r="I22" s="292"/>
      <c r="J22" s="292"/>
      <c r="K22" s="292">
        <f t="shared" si="0"/>
        <v>0</v>
      </c>
      <c r="L22"/>
    </row>
    <row r="23" spans="1:12" ht="15">
      <c r="A23" s="280"/>
      <c r="B23" s="276">
        <v>10</v>
      </c>
      <c r="C23" s="435" t="s">
        <v>140</v>
      </c>
      <c r="D23" s="435"/>
      <c r="E23" s="435"/>
      <c r="F23" s="293">
        <f>SUM(G33:G132)</f>
        <v>108356460.64999998</v>
      </c>
      <c r="G23" s="292">
        <f>SUM(H33:H132)</f>
        <v>54407143.103692725</v>
      </c>
      <c r="H23" s="292">
        <f>SUM(I33:I132)</f>
        <v>0</v>
      </c>
      <c r="I23" s="292">
        <f>SUM(J33:J132)</f>
        <v>0</v>
      </c>
      <c r="J23" s="292">
        <f>SUM(K33:K132)</f>
        <v>1841186.7939518427</v>
      </c>
      <c r="K23" s="292">
        <f t="shared" si="0"/>
        <v>164604790.54764453</v>
      </c>
      <c r="L23"/>
    </row>
    <row r="24" spans="1:12" ht="30.95" customHeight="1">
      <c r="A24" s="280"/>
      <c r="B24" s="276">
        <v>11</v>
      </c>
      <c r="C24" s="436" t="s">
        <v>223</v>
      </c>
      <c r="D24" s="437"/>
      <c r="E24" s="438"/>
      <c r="F24" s="7">
        <f>SUM(F14:F16,F18:F23)</f>
        <v>139473169.39</v>
      </c>
      <c r="G24" s="7">
        <f>SUM(G14:G16,G18:G23)</f>
        <v>60532634.423692726</v>
      </c>
      <c r="H24" s="43">
        <f aca="true" t="shared" si="1" ref="H24:J24">SUM(H14:H16,H18:H23)</f>
        <v>0</v>
      </c>
      <c r="I24" s="7">
        <f t="shared" si="1"/>
        <v>0</v>
      </c>
      <c r="J24" s="7">
        <f t="shared" si="1"/>
        <v>1943289.5139518427</v>
      </c>
      <c r="K24" s="7">
        <f>SUM(K14:K16,K18:K23)</f>
        <v>201949093.32764453</v>
      </c>
      <c r="L24"/>
    </row>
    <row r="25" spans="1:11" s="324" customFormat="1" ht="30.95" customHeight="1">
      <c r="A25" s="280"/>
      <c r="B25" s="276">
        <v>12</v>
      </c>
      <c r="C25" s="443" t="s">
        <v>283</v>
      </c>
      <c r="D25" s="443"/>
      <c r="E25" s="443"/>
      <c r="F25" s="7">
        <f>SUM(F14:F16,F18,F23)</f>
        <v>126573169.38999997</v>
      </c>
      <c r="G25" s="298">
        <f aca="true" t="shared" si="2" ref="G25:J25">SUM(G14:G16,G18,G23)</f>
        <v>60532634.423692726</v>
      </c>
      <c r="H25" s="298">
        <f t="shared" si="2"/>
        <v>0</v>
      </c>
      <c r="I25" s="298">
        <f t="shared" si="2"/>
        <v>0</v>
      </c>
      <c r="J25" s="7">
        <f t="shared" si="2"/>
        <v>1943289.5139518427</v>
      </c>
      <c r="K25" s="7">
        <f>SUM(K14:K16,K18,K23)</f>
        <v>189049093.32764453</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42" t="s">
        <v>166</v>
      </c>
      <c r="E31" s="442"/>
      <c r="F31" s="442"/>
      <c r="G31" s="343" t="s">
        <v>28</v>
      </c>
      <c r="H31" s="439" t="s">
        <v>30</v>
      </c>
      <c r="I31" s="440"/>
      <c r="J31" s="440"/>
      <c r="K31" s="441"/>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t="str">
        <f aca="true" t="shared" si="3" ref="C33:C64">IF(L33&lt;&gt;0,VLOOKUP($D$7,Info_County_Code,2,FALSE),"")</f>
        <v/>
      </c>
      <c r="D33" s="394" t="s">
        <v>328</v>
      </c>
      <c r="E33" s="394"/>
      <c r="F33" s="296"/>
      <c r="G33" s="290"/>
      <c r="H33" s="290"/>
      <c r="I33" s="290"/>
      <c r="J33" s="317"/>
      <c r="K33" s="290"/>
      <c r="L33" s="292">
        <f>SUM(G33:K33)</f>
        <v>0</v>
      </c>
    </row>
    <row r="34" spans="1:12" s="358" customFormat="1" ht="15">
      <c r="A34" s="280"/>
      <c r="B34" s="294">
        <v>2</v>
      </c>
      <c r="C34" s="295">
        <f t="shared" si="3"/>
        <v>37</v>
      </c>
      <c r="D34" s="394" t="s">
        <v>329</v>
      </c>
      <c r="E34" s="394"/>
      <c r="F34" s="296" t="s">
        <v>102</v>
      </c>
      <c r="G34" s="290">
        <v>526353.38</v>
      </c>
      <c r="H34" s="290">
        <v>479178.3204</v>
      </c>
      <c r="I34" s="290"/>
      <c r="J34" s="317"/>
      <c r="K34" s="290">
        <v>2310.4004000000014</v>
      </c>
      <c r="L34" s="292">
        <f aca="true" t="shared" si="4" ref="L34:L97">SUM(G34:K34)</f>
        <v>1007842.1008</v>
      </c>
    </row>
    <row r="35" spans="1:12" s="358" customFormat="1" ht="15">
      <c r="A35" s="280"/>
      <c r="B35" s="294">
        <v>3</v>
      </c>
      <c r="C35" s="295">
        <f t="shared" si="3"/>
        <v>37</v>
      </c>
      <c r="D35" s="394" t="s">
        <v>330</v>
      </c>
      <c r="E35" s="394"/>
      <c r="F35" s="296" t="s">
        <v>102</v>
      </c>
      <c r="G35" s="290">
        <v>13275597.73</v>
      </c>
      <c r="H35" s="290">
        <v>17390058.08712213</v>
      </c>
      <c r="I35" s="290"/>
      <c r="J35" s="317"/>
      <c r="K35" s="290">
        <v>3494.0771608184587</v>
      </c>
      <c r="L35" s="292">
        <f t="shared" si="4"/>
        <v>30669149.89428295</v>
      </c>
    </row>
    <row r="36" spans="1:12" s="358" customFormat="1" ht="15">
      <c r="A36" s="280"/>
      <c r="B36" s="294">
        <v>4</v>
      </c>
      <c r="C36" s="295">
        <f t="shared" si="3"/>
        <v>37</v>
      </c>
      <c r="D36" s="394" t="s">
        <v>331</v>
      </c>
      <c r="E36" s="394"/>
      <c r="F36" s="296" t="s">
        <v>102</v>
      </c>
      <c r="G36" s="290">
        <v>1992944.91</v>
      </c>
      <c r="H36" s="290">
        <v>2171633.5476</v>
      </c>
      <c r="I36" s="290"/>
      <c r="J36" s="317"/>
      <c r="K36" s="290"/>
      <c r="L36" s="292">
        <f t="shared" si="4"/>
        <v>4164578.4576000003</v>
      </c>
    </row>
    <row r="37" spans="1:12" s="358" customFormat="1" ht="15">
      <c r="A37" s="280"/>
      <c r="B37" s="294">
        <v>5</v>
      </c>
      <c r="C37" s="295">
        <f t="shared" si="3"/>
        <v>37</v>
      </c>
      <c r="D37" s="394" t="s">
        <v>332</v>
      </c>
      <c r="E37" s="394"/>
      <c r="F37" s="296" t="s">
        <v>102</v>
      </c>
      <c r="G37" s="290">
        <v>2633000</v>
      </c>
      <c r="H37" s="290">
        <v>1940616.9231303448</v>
      </c>
      <c r="I37" s="290"/>
      <c r="J37" s="317"/>
      <c r="K37" s="290">
        <v>999542.8396415872</v>
      </c>
      <c r="L37" s="292">
        <f t="shared" si="4"/>
        <v>5573159.7627719315</v>
      </c>
    </row>
    <row r="38" spans="1:12" s="358" customFormat="1" ht="15">
      <c r="A38" s="280"/>
      <c r="B38" s="294">
        <v>6</v>
      </c>
      <c r="C38" s="295" t="str">
        <f t="shared" si="3"/>
        <v/>
      </c>
      <c r="D38" s="394" t="s">
        <v>333</v>
      </c>
      <c r="E38" s="394"/>
      <c r="F38" s="296"/>
      <c r="G38" s="290"/>
      <c r="H38" s="290"/>
      <c r="I38" s="290"/>
      <c r="J38" s="317"/>
      <c r="K38" s="290"/>
      <c r="L38" s="292">
        <f t="shared" si="4"/>
        <v>0</v>
      </c>
    </row>
    <row r="39" spans="1:12" s="358" customFormat="1" ht="15">
      <c r="A39" s="280"/>
      <c r="B39" s="294">
        <v>7</v>
      </c>
      <c r="C39" s="295">
        <f t="shared" si="3"/>
        <v>37</v>
      </c>
      <c r="D39" s="394" t="s">
        <v>334</v>
      </c>
      <c r="E39" s="394"/>
      <c r="F39" s="296" t="s">
        <v>102</v>
      </c>
      <c r="G39" s="290">
        <v>407333.42</v>
      </c>
      <c r="H39" s="290"/>
      <c r="I39" s="290"/>
      <c r="J39" s="317"/>
      <c r="K39" s="290"/>
      <c r="L39" s="292">
        <f t="shared" si="4"/>
        <v>407333.42</v>
      </c>
    </row>
    <row r="40" spans="1:12" s="358" customFormat="1" ht="15">
      <c r="A40" s="280"/>
      <c r="B40" s="294">
        <v>8</v>
      </c>
      <c r="C40" s="295">
        <f t="shared" si="3"/>
        <v>37</v>
      </c>
      <c r="D40" s="394" t="s">
        <v>335</v>
      </c>
      <c r="E40" s="394"/>
      <c r="F40" s="296" t="s">
        <v>102</v>
      </c>
      <c r="G40" s="290">
        <v>857058.85</v>
      </c>
      <c r="H40" s="290">
        <v>191062.25731608798</v>
      </c>
      <c r="I40" s="290"/>
      <c r="J40" s="317"/>
      <c r="K40" s="290">
        <v>3352.7851757898507</v>
      </c>
      <c r="L40" s="292">
        <f t="shared" si="4"/>
        <v>1051473.8924918778</v>
      </c>
    </row>
    <row r="41" spans="1:12" s="358" customFormat="1" ht="15">
      <c r="A41" s="280"/>
      <c r="B41" s="294">
        <v>9</v>
      </c>
      <c r="C41" s="295">
        <f t="shared" si="3"/>
        <v>37</v>
      </c>
      <c r="D41" s="394" t="s">
        <v>336</v>
      </c>
      <c r="E41" s="394"/>
      <c r="F41" s="296" t="s">
        <v>102</v>
      </c>
      <c r="G41" s="290">
        <v>1176447.61</v>
      </c>
      <c r="H41" s="290">
        <v>312935.15057941765</v>
      </c>
      <c r="I41" s="290"/>
      <c r="J41" s="317"/>
      <c r="K41" s="290">
        <v>12403.126579978361</v>
      </c>
      <c r="L41" s="292">
        <f t="shared" si="4"/>
        <v>1501785.887159396</v>
      </c>
    </row>
    <row r="42" spans="1:12" s="358" customFormat="1" ht="15">
      <c r="A42" s="280"/>
      <c r="B42" s="294">
        <v>10</v>
      </c>
      <c r="C42" s="295">
        <f t="shared" si="3"/>
        <v>37</v>
      </c>
      <c r="D42" s="394" t="s">
        <v>337</v>
      </c>
      <c r="E42" s="394"/>
      <c r="F42" s="296" t="s">
        <v>102</v>
      </c>
      <c r="G42" s="290">
        <v>670296.32</v>
      </c>
      <c r="H42" s="290"/>
      <c r="I42" s="290"/>
      <c r="J42" s="317"/>
      <c r="K42" s="290"/>
      <c r="L42" s="292">
        <f t="shared" si="4"/>
        <v>670296.32</v>
      </c>
    </row>
    <row r="43" spans="1:12" s="358" customFormat="1" ht="15">
      <c r="A43" s="280"/>
      <c r="B43" s="294">
        <v>11</v>
      </c>
      <c r="C43" s="295">
        <f t="shared" si="3"/>
        <v>37</v>
      </c>
      <c r="D43" s="394" t="s">
        <v>338</v>
      </c>
      <c r="E43" s="394"/>
      <c r="F43" s="296" t="s">
        <v>102</v>
      </c>
      <c r="G43" s="290">
        <v>564073.05</v>
      </c>
      <c r="H43" s="290"/>
      <c r="I43" s="290"/>
      <c r="J43" s="317"/>
      <c r="K43" s="290"/>
      <c r="L43" s="292">
        <f t="shared" si="4"/>
        <v>564073.05</v>
      </c>
    </row>
    <row r="44" spans="1:12" s="358" customFormat="1" ht="15">
      <c r="A44" s="280"/>
      <c r="B44" s="294">
        <v>12</v>
      </c>
      <c r="C44" s="295">
        <f t="shared" si="3"/>
        <v>37</v>
      </c>
      <c r="D44" s="394" t="s">
        <v>339</v>
      </c>
      <c r="E44" s="394"/>
      <c r="F44" s="296" t="s">
        <v>102</v>
      </c>
      <c r="G44" s="290">
        <v>1482982.99</v>
      </c>
      <c r="H44" s="290"/>
      <c r="I44" s="290"/>
      <c r="J44" s="317"/>
      <c r="K44" s="290"/>
      <c r="L44" s="292">
        <f t="shared" si="4"/>
        <v>1482982.99</v>
      </c>
    </row>
    <row r="45" spans="1:12" s="358" customFormat="1" ht="33" customHeight="1">
      <c r="A45" s="280"/>
      <c r="B45" s="294">
        <v>13</v>
      </c>
      <c r="C45" s="295">
        <f t="shared" si="3"/>
        <v>37</v>
      </c>
      <c r="D45" s="394" t="s">
        <v>340</v>
      </c>
      <c r="E45" s="394" t="s">
        <v>341</v>
      </c>
      <c r="F45" s="296" t="s">
        <v>102</v>
      </c>
      <c r="G45" s="290">
        <v>1098610.17</v>
      </c>
      <c r="H45" s="290">
        <v>1568301.700993742</v>
      </c>
      <c r="I45" s="290"/>
      <c r="J45" s="317"/>
      <c r="K45" s="290">
        <v>2201.7533853480472</v>
      </c>
      <c r="L45" s="292">
        <f t="shared" si="4"/>
        <v>2669113.62437909</v>
      </c>
    </row>
    <row r="46" spans="1:12" s="358" customFormat="1" ht="33" customHeight="1">
      <c r="A46" s="280"/>
      <c r="B46" s="294">
        <v>14</v>
      </c>
      <c r="C46" s="295">
        <f t="shared" si="3"/>
        <v>37</v>
      </c>
      <c r="D46" s="394" t="s">
        <v>342</v>
      </c>
      <c r="E46" s="394" t="s">
        <v>343</v>
      </c>
      <c r="F46" s="296" t="s">
        <v>102</v>
      </c>
      <c r="G46" s="290">
        <v>368861.67</v>
      </c>
      <c r="H46" s="290"/>
      <c r="I46" s="290"/>
      <c r="J46" s="317"/>
      <c r="K46" s="290"/>
      <c r="L46" s="292">
        <f t="shared" si="4"/>
        <v>368861.67</v>
      </c>
    </row>
    <row r="47" spans="1:12" s="358" customFormat="1" ht="33" customHeight="1">
      <c r="A47" s="280"/>
      <c r="B47" s="294">
        <v>15</v>
      </c>
      <c r="C47" s="295">
        <f t="shared" si="3"/>
        <v>37</v>
      </c>
      <c r="D47" s="394" t="s">
        <v>344</v>
      </c>
      <c r="E47" s="394" t="s">
        <v>341</v>
      </c>
      <c r="F47" s="296" t="s">
        <v>102</v>
      </c>
      <c r="G47" s="290">
        <v>6678362.36</v>
      </c>
      <c r="H47" s="290">
        <v>3595118.5803999994</v>
      </c>
      <c r="I47" s="290"/>
      <c r="J47" s="317"/>
      <c r="K47" s="290">
        <v>76144.53960000006</v>
      </c>
      <c r="L47" s="292">
        <f t="shared" si="4"/>
        <v>10349625.48</v>
      </c>
    </row>
    <row r="48" spans="1:12" s="358" customFormat="1" ht="33" customHeight="1">
      <c r="A48" s="280"/>
      <c r="B48" s="294">
        <v>16</v>
      </c>
      <c r="C48" s="295">
        <f t="shared" si="3"/>
        <v>37</v>
      </c>
      <c r="D48" s="394" t="s">
        <v>345</v>
      </c>
      <c r="E48" s="394" t="s">
        <v>343</v>
      </c>
      <c r="F48" s="296" t="s">
        <v>102</v>
      </c>
      <c r="G48" s="290">
        <v>2132101.14</v>
      </c>
      <c r="H48" s="290"/>
      <c r="I48" s="290"/>
      <c r="J48" s="317"/>
      <c r="K48" s="290"/>
      <c r="L48" s="292">
        <f t="shared" si="4"/>
        <v>2132101.14</v>
      </c>
    </row>
    <row r="49" spans="1:12" s="358" customFormat="1" ht="33" customHeight="1">
      <c r="A49" s="280"/>
      <c r="B49" s="294">
        <v>17</v>
      </c>
      <c r="C49" s="295">
        <f t="shared" si="3"/>
        <v>37</v>
      </c>
      <c r="D49" s="394" t="s">
        <v>346</v>
      </c>
      <c r="E49" s="394" t="s">
        <v>341</v>
      </c>
      <c r="F49" s="296" t="s">
        <v>102</v>
      </c>
      <c r="G49" s="290">
        <v>606283.79</v>
      </c>
      <c r="H49" s="290">
        <v>547192.6033000001</v>
      </c>
      <c r="I49" s="290"/>
      <c r="J49" s="317"/>
      <c r="K49" s="290">
        <v>17908.37670000001</v>
      </c>
      <c r="L49" s="292">
        <f t="shared" si="4"/>
        <v>1171384.77</v>
      </c>
    </row>
    <row r="50" spans="1:12" s="358" customFormat="1" ht="33" customHeight="1">
      <c r="A50" s="280"/>
      <c r="B50" s="294">
        <v>18</v>
      </c>
      <c r="C50" s="295">
        <f t="shared" si="3"/>
        <v>37</v>
      </c>
      <c r="D50" s="394" t="s">
        <v>347</v>
      </c>
      <c r="E50" s="394" t="s">
        <v>343</v>
      </c>
      <c r="F50" s="296" t="s">
        <v>102</v>
      </c>
      <c r="G50" s="290">
        <v>519387.73</v>
      </c>
      <c r="H50" s="290"/>
      <c r="I50" s="290"/>
      <c r="J50" s="317"/>
      <c r="K50" s="290"/>
      <c r="L50" s="292">
        <f t="shared" si="4"/>
        <v>519387.73</v>
      </c>
    </row>
    <row r="51" spans="1:12" s="358" customFormat="1" ht="33" customHeight="1">
      <c r="A51" s="280"/>
      <c r="B51" s="294">
        <v>19</v>
      </c>
      <c r="C51" s="295">
        <f t="shared" si="3"/>
        <v>37</v>
      </c>
      <c r="D51" s="394" t="s">
        <v>348</v>
      </c>
      <c r="E51" s="394" t="s">
        <v>341</v>
      </c>
      <c r="F51" s="296" t="s">
        <v>102</v>
      </c>
      <c r="G51" s="290">
        <v>763224.97</v>
      </c>
      <c r="H51" s="290">
        <v>149483.82559999998</v>
      </c>
      <c r="I51" s="290"/>
      <c r="J51" s="317"/>
      <c r="K51" s="290">
        <v>7161.699400000008</v>
      </c>
      <c r="L51" s="292">
        <f t="shared" si="4"/>
        <v>919870.495</v>
      </c>
    </row>
    <row r="52" spans="1:12" s="358" customFormat="1" ht="33" customHeight="1">
      <c r="A52" s="280"/>
      <c r="B52" s="294">
        <v>20</v>
      </c>
      <c r="C52" s="295">
        <f t="shared" si="3"/>
        <v>37</v>
      </c>
      <c r="D52" s="394" t="s">
        <v>349</v>
      </c>
      <c r="E52" s="394" t="s">
        <v>343</v>
      </c>
      <c r="F52" s="296" t="s">
        <v>102</v>
      </c>
      <c r="G52" s="290">
        <v>232122.05</v>
      </c>
      <c r="H52" s="290"/>
      <c r="I52" s="290"/>
      <c r="J52" s="317"/>
      <c r="K52" s="290"/>
      <c r="L52" s="292">
        <f t="shared" si="4"/>
        <v>232122.05</v>
      </c>
    </row>
    <row r="53" spans="1:12" s="358" customFormat="1" ht="33" customHeight="1">
      <c r="A53" s="280"/>
      <c r="B53" s="294">
        <v>21</v>
      </c>
      <c r="C53" s="295">
        <f t="shared" si="3"/>
        <v>37</v>
      </c>
      <c r="D53" s="394" t="s">
        <v>350</v>
      </c>
      <c r="E53" s="394" t="s">
        <v>341</v>
      </c>
      <c r="F53" s="296" t="s">
        <v>102</v>
      </c>
      <c r="G53" s="290">
        <v>1288258.48</v>
      </c>
      <c r="H53" s="290">
        <v>982390.4916888464</v>
      </c>
      <c r="I53" s="290"/>
      <c r="J53" s="317"/>
      <c r="K53" s="290">
        <v>1.3345661704934635</v>
      </c>
      <c r="L53" s="292">
        <f t="shared" si="4"/>
        <v>2270650.3062550165</v>
      </c>
    </row>
    <row r="54" spans="1:12" s="358" customFormat="1" ht="33" customHeight="1">
      <c r="A54" s="280"/>
      <c r="B54" s="294">
        <v>22</v>
      </c>
      <c r="C54" s="295">
        <f t="shared" si="3"/>
        <v>37</v>
      </c>
      <c r="D54" s="394" t="s">
        <v>351</v>
      </c>
      <c r="E54" s="394" t="s">
        <v>343</v>
      </c>
      <c r="F54" s="296" t="s">
        <v>102</v>
      </c>
      <c r="G54" s="290">
        <v>126982.8</v>
      </c>
      <c r="H54" s="290"/>
      <c r="I54" s="290"/>
      <c r="J54" s="317"/>
      <c r="K54" s="290"/>
      <c r="L54" s="292">
        <f t="shared" si="4"/>
        <v>126982.8</v>
      </c>
    </row>
    <row r="55" spans="1:12" s="358" customFormat="1" ht="33" customHeight="1">
      <c r="A55" s="280"/>
      <c r="B55" s="294">
        <v>23</v>
      </c>
      <c r="C55" s="295">
        <f t="shared" si="3"/>
        <v>37</v>
      </c>
      <c r="D55" s="394" t="s">
        <v>352</v>
      </c>
      <c r="E55" s="394" t="s">
        <v>341</v>
      </c>
      <c r="F55" s="296" t="s">
        <v>102</v>
      </c>
      <c r="G55" s="290">
        <v>334087.48</v>
      </c>
      <c r="H55" s="290"/>
      <c r="I55" s="290"/>
      <c r="J55" s="317"/>
      <c r="K55" s="290"/>
      <c r="L55" s="292">
        <f t="shared" si="4"/>
        <v>334087.48</v>
      </c>
    </row>
    <row r="56" spans="1:12" s="358" customFormat="1" ht="33" customHeight="1">
      <c r="A56" s="280"/>
      <c r="B56" s="294">
        <v>24</v>
      </c>
      <c r="C56" s="295">
        <f t="shared" si="3"/>
        <v>37</v>
      </c>
      <c r="D56" s="394" t="s">
        <v>353</v>
      </c>
      <c r="E56" s="394" t="s">
        <v>341</v>
      </c>
      <c r="F56" s="296" t="s">
        <v>102</v>
      </c>
      <c r="G56" s="290">
        <v>675323.43</v>
      </c>
      <c r="H56" s="290">
        <v>1450754.2858000002</v>
      </c>
      <c r="I56" s="290"/>
      <c r="J56" s="317"/>
      <c r="K56" s="290">
        <v>33468.519200000024</v>
      </c>
      <c r="L56" s="292">
        <f t="shared" si="4"/>
        <v>2159546.2350000003</v>
      </c>
    </row>
    <row r="57" spans="1:12" s="358" customFormat="1" ht="33" customHeight="1">
      <c r="A57" s="280"/>
      <c r="B57" s="294">
        <v>25</v>
      </c>
      <c r="C57" s="295">
        <f t="shared" si="3"/>
        <v>37</v>
      </c>
      <c r="D57" s="394" t="s">
        <v>354</v>
      </c>
      <c r="E57" s="394" t="s">
        <v>343</v>
      </c>
      <c r="F57" s="296" t="s">
        <v>102</v>
      </c>
      <c r="G57" s="290">
        <v>1085726.33</v>
      </c>
      <c r="H57" s="290"/>
      <c r="I57" s="290"/>
      <c r="J57" s="317"/>
      <c r="K57" s="290"/>
      <c r="L57" s="292">
        <f t="shared" si="4"/>
        <v>1085726.33</v>
      </c>
    </row>
    <row r="58" spans="1:12" s="358" customFormat="1" ht="15">
      <c r="A58" s="280"/>
      <c r="B58" s="294">
        <v>26</v>
      </c>
      <c r="C58" s="295">
        <f t="shared" si="3"/>
        <v>37</v>
      </c>
      <c r="D58" s="394" t="s">
        <v>355</v>
      </c>
      <c r="E58" s="394" t="s">
        <v>341</v>
      </c>
      <c r="F58" s="296" t="s">
        <v>102</v>
      </c>
      <c r="G58" s="290">
        <v>2513824.12</v>
      </c>
      <c r="H58" s="290">
        <v>1242694.0376000002</v>
      </c>
      <c r="I58" s="290"/>
      <c r="J58" s="317"/>
      <c r="K58" s="290">
        <v>32653.22740000004</v>
      </c>
      <c r="L58" s="292">
        <f t="shared" si="4"/>
        <v>3789171.3850000007</v>
      </c>
    </row>
    <row r="59" spans="1:12" s="358" customFormat="1" ht="30.75">
      <c r="A59" s="280"/>
      <c r="B59" s="294">
        <v>27</v>
      </c>
      <c r="C59" s="295">
        <f t="shared" si="3"/>
        <v>37</v>
      </c>
      <c r="D59" s="394" t="s">
        <v>356</v>
      </c>
      <c r="E59" s="394" t="s">
        <v>343</v>
      </c>
      <c r="F59" s="296" t="s">
        <v>102</v>
      </c>
      <c r="G59" s="290">
        <v>481103.17</v>
      </c>
      <c r="H59" s="290"/>
      <c r="I59" s="290"/>
      <c r="J59" s="317"/>
      <c r="K59" s="290"/>
      <c r="L59" s="292">
        <f t="shared" si="4"/>
        <v>481103.17</v>
      </c>
    </row>
    <row r="60" spans="1:12" s="358" customFormat="1" ht="15">
      <c r="A60" s="280"/>
      <c r="B60" s="294">
        <v>28</v>
      </c>
      <c r="C60" s="295">
        <f t="shared" si="3"/>
        <v>37</v>
      </c>
      <c r="D60" s="394" t="s">
        <v>357</v>
      </c>
      <c r="E60" s="394" t="s">
        <v>341</v>
      </c>
      <c r="F60" s="296" t="s">
        <v>102</v>
      </c>
      <c r="G60" s="290">
        <v>3365015.53</v>
      </c>
      <c r="H60" s="290">
        <v>1209895.481534125</v>
      </c>
      <c r="I60" s="290"/>
      <c r="J60" s="317"/>
      <c r="K60" s="290">
        <v>6746.941406662227</v>
      </c>
      <c r="L60" s="292">
        <f t="shared" si="4"/>
        <v>4581657.952940787</v>
      </c>
    </row>
    <row r="61" spans="1:12" s="358" customFormat="1" ht="30" customHeight="1">
      <c r="A61" s="280"/>
      <c r="B61" s="294">
        <v>29</v>
      </c>
      <c r="C61" s="295">
        <f t="shared" si="3"/>
        <v>37</v>
      </c>
      <c r="D61" s="394" t="s">
        <v>358</v>
      </c>
      <c r="E61" s="394" t="s">
        <v>343</v>
      </c>
      <c r="F61" s="296" t="s">
        <v>102</v>
      </c>
      <c r="G61" s="290">
        <v>590716.93</v>
      </c>
      <c r="H61" s="290"/>
      <c r="I61" s="290"/>
      <c r="J61" s="317"/>
      <c r="K61" s="290"/>
      <c r="L61" s="292">
        <f t="shared" si="4"/>
        <v>590716.93</v>
      </c>
    </row>
    <row r="62" spans="1:12" s="358" customFormat="1" ht="15">
      <c r="A62" s="280"/>
      <c r="B62" s="294">
        <v>30</v>
      </c>
      <c r="C62" s="295">
        <f t="shared" si="3"/>
        <v>37</v>
      </c>
      <c r="D62" s="394" t="s">
        <v>359</v>
      </c>
      <c r="E62" s="394" t="s">
        <v>341</v>
      </c>
      <c r="F62" s="296" t="s">
        <v>102</v>
      </c>
      <c r="G62" s="290">
        <v>1521734.84</v>
      </c>
      <c r="H62" s="290">
        <v>1288381.225144912</v>
      </c>
      <c r="I62" s="290"/>
      <c r="J62" s="317"/>
      <c r="K62" s="290">
        <v>37853.06861787285</v>
      </c>
      <c r="L62" s="292">
        <f t="shared" si="4"/>
        <v>2847969.1337627852</v>
      </c>
    </row>
    <row r="63" spans="1:12" s="358" customFormat="1" ht="30.75">
      <c r="A63" s="280"/>
      <c r="B63" s="294">
        <v>31</v>
      </c>
      <c r="C63" s="295">
        <f t="shared" si="3"/>
        <v>37</v>
      </c>
      <c r="D63" s="394" t="s">
        <v>360</v>
      </c>
      <c r="E63" s="394" t="s">
        <v>343</v>
      </c>
      <c r="F63" s="296" t="s">
        <v>102</v>
      </c>
      <c r="G63" s="290">
        <v>1177295.77</v>
      </c>
      <c r="H63" s="290"/>
      <c r="I63" s="290"/>
      <c r="J63" s="317"/>
      <c r="K63" s="290"/>
      <c r="L63" s="292">
        <f t="shared" si="4"/>
        <v>1177295.77</v>
      </c>
    </row>
    <row r="64" spans="1:12" s="358" customFormat="1" ht="15">
      <c r="A64" s="280"/>
      <c r="B64" s="294">
        <v>32</v>
      </c>
      <c r="C64" s="295">
        <f t="shared" si="3"/>
        <v>37</v>
      </c>
      <c r="D64" s="394" t="s">
        <v>361</v>
      </c>
      <c r="E64" s="394"/>
      <c r="F64" s="296" t="s">
        <v>102</v>
      </c>
      <c r="G64" s="290">
        <v>1575077.81</v>
      </c>
      <c r="H64" s="290"/>
      <c r="I64" s="290"/>
      <c r="J64" s="317"/>
      <c r="K64" s="290"/>
      <c r="L64" s="292">
        <f t="shared" si="4"/>
        <v>1575077.81</v>
      </c>
    </row>
    <row r="65" spans="1:12" s="358" customFormat="1" ht="15">
      <c r="A65" s="280"/>
      <c r="B65" s="294">
        <v>33</v>
      </c>
      <c r="C65" s="295">
        <f aca="true" t="shared" si="5" ref="C65:C96">IF(L65&lt;&gt;0,VLOOKUP($D$7,Info_County_Code,2,FALSE),"")</f>
        <v>37</v>
      </c>
      <c r="D65" s="394" t="s">
        <v>362</v>
      </c>
      <c r="E65" s="394"/>
      <c r="F65" s="296" t="s">
        <v>102</v>
      </c>
      <c r="G65" s="290">
        <v>136556.05</v>
      </c>
      <c r="H65" s="290">
        <v>188422.4808</v>
      </c>
      <c r="I65" s="290"/>
      <c r="J65" s="317"/>
      <c r="K65" s="290">
        <v>6359.340800000009</v>
      </c>
      <c r="L65" s="292">
        <f t="shared" si="4"/>
        <v>331337.87159999995</v>
      </c>
    </row>
    <row r="66" spans="1:12" s="358" customFormat="1" ht="15">
      <c r="A66" s="280"/>
      <c r="B66" s="294">
        <v>34</v>
      </c>
      <c r="C66" s="295">
        <f t="shared" si="5"/>
        <v>37</v>
      </c>
      <c r="D66" s="394" t="s">
        <v>363</v>
      </c>
      <c r="E66" s="394"/>
      <c r="F66" s="296" t="s">
        <v>102</v>
      </c>
      <c r="G66" s="290">
        <v>125974.53</v>
      </c>
      <c r="H66" s="290"/>
      <c r="I66" s="290"/>
      <c r="J66" s="317"/>
      <c r="K66" s="290"/>
      <c r="L66" s="292">
        <f t="shared" si="4"/>
        <v>125974.53</v>
      </c>
    </row>
    <row r="67" spans="1:12" s="358" customFormat="1" ht="30.75">
      <c r="A67" s="280"/>
      <c r="B67" s="294">
        <v>35</v>
      </c>
      <c r="C67" s="295">
        <f t="shared" si="5"/>
        <v>37</v>
      </c>
      <c r="D67" s="394" t="s">
        <v>364</v>
      </c>
      <c r="E67" s="394" t="s">
        <v>365</v>
      </c>
      <c r="F67" s="296" t="s">
        <v>102</v>
      </c>
      <c r="G67" s="290">
        <v>453090.31</v>
      </c>
      <c r="H67" s="290">
        <v>250132.0756264273</v>
      </c>
      <c r="I67" s="290"/>
      <c r="J67" s="317"/>
      <c r="K67" s="290">
        <v>10969.115517390994</v>
      </c>
      <c r="L67" s="292">
        <f t="shared" si="4"/>
        <v>714191.5011438184</v>
      </c>
    </row>
    <row r="68" spans="1:12" s="358" customFormat="1" ht="15">
      <c r="A68" s="280"/>
      <c r="B68" s="294">
        <v>36</v>
      </c>
      <c r="C68" s="295">
        <f t="shared" si="5"/>
        <v>37</v>
      </c>
      <c r="D68" s="394" t="s">
        <v>366</v>
      </c>
      <c r="E68" s="394"/>
      <c r="F68" s="296" t="s">
        <v>102</v>
      </c>
      <c r="G68" s="290">
        <v>781613.71</v>
      </c>
      <c r="H68" s="290"/>
      <c r="I68" s="290"/>
      <c r="J68" s="317"/>
      <c r="K68" s="290">
        <v>47715.142700000026</v>
      </c>
      <c r="L68" s="292">
        <f t="shared" si="4"/>
        <v>829328.8526999999</v>
      </c>
    </row>
    <row r="69" spans="1:12" s="358" customFormat="1" ht="15">
      <c r="A69" s="280"/>
      <c r="B69" s="294">
        <v>37</v>
      </c>
      <c r="C69" s="295" t="str">
        <f t="shared" si="5"/>
        <v/>
      </c>
      <c r="D69" s="394" t="s">
        <v>367</v>
      </c>
      <c r="E69" s="394"/>
      <c r="F69" s="296"/>
      <c r="G69" s="290"/>
      <c r="H69" s="290"/>
      <c r="I69" s="290"/>
      <c r="J69" s="317"/>
      <c r="K69" s="290"/>
      <c r="L69" s="292">
        <f t="shared" si="4"/>
        <v>0</v>
      </c>
    </row>
    <row r="70" spans="1:12" s="358" customFormat="1" ht="15">
      <c r="A70" s="280"/>
      <c r="B70" s="294">
        <v>38</v>
      </c>
      <c r="C70" s="295">
        <f t="shared" si="5"/>
        <v>37</v>
      </c>
      <c r="D70" s="394" t="s">
        <v>368</v>
      </c>
      <c r="E70" s="394"/>
      <c r="F70" s="296" t="s">
        <v>103</v>
      </c>
      <c r="G70" s="290">
        <v>408343.87</v>
      </c>
      <c r="H70" s="290"/>
      <c r="I70" s="290"/>
      <c r="J70" s="317"/>
      <c r="K70" s="290"/>
      <c r="L70" s="292">
        <f t="shared" si="4"/>
        <v>408343.87</v>
      </c>
    </row>
    <row r="71" spans="1:12" s="358" customFormat="1" ht="15">
      <c r="A71" s="280"/>
      <c r="B71" s="294">
        <v>39</v>
      </c>
      <c r="C71" s="295">
        <f t="shared" si="5"/>
        <v>37</v>
      </c>
      <c r="D71" s="394" t="s">
        <v>369</v>
      </c>
      <c r="E71" s="394" t="s">
        <v>370</v>
      </c>
      <c r="F71" s="296" t="s">
        <v>103</v>
      </c>
      <c r="G71" s="290">
        <v>836752.79</v>
      </c>
      <c r="H71" s="290"/>
      <c r="I71" s="290"/>
      <c r="J71" s="317"/>
      <c r="K71" s="290"/>
      <c r="L71" s="292">
        <f t="shared" si="4"/>
        <v>836752.79</v>
      </c>
    </row>
    <row r="72" spans="1:12" s="358" customFormat="1" ht="15">
      <c r="A72" s="280"/>
      <c r="B72" s="294">
        <v>40</v>
      </c>
      <c r="C72" s="295">
        <f t="shared" si="5"/>
        <v>37</v>
      </c>
      <c r="D72" s="394" t="s">
        <v>371</v>
      </c>
      <c r="E72" s="394"/>
      <c r="F72" s="296" t="s">
        <v>103</v>
      </c>
      <c r="G72" s="290">
        <v>346561.87</v>
      </c>
      <c r="H72" s="290"/>
      <c r="I72" s="290"/>
      <c r="J72" s="317"/>
      <c r="K72" s="290"/>
      <c r="L72" s="292">
        <f t="shared" si="4"/>
        <v>346561.87</v>
      </c>
    </row>
    <row r="73" spans="1:12" s="358" customFormat="1" ht="15">
      <c r="A73" s="280"/>
      <c r="B73" s="294">
        <v>41</v>
      </c>
      <c r="C73" s="295">
        <f t="shared" si="5"/>
        <v>37</v>
      </c>
      <c r="D73" s="394" t="s">
        <v>372</v>
      </c>
      <c r="E73" s="394"/>
      <c r="F73" s="296" t="s">
        <v>103</v>
      </c>
      <c r="G73" s="290">
        <v>128398.56</v>
      </c>
      <c r="H73" s="290">
        <v>119023.95116324</v>
      </c>
      <c r="I73" s="290"/>
      <c r="J73" s="317"/>
      <c r="K73" s="290"/>
      <c r="L73" s="292">
        <f t="shared" si="4"/>
        <v>247422.51116324</v>
      </c>
    </row>
    <row r="74" spans="1:12" s="358" customFormat="1" ht="15">
      <c r="A74" s="280"/>
      <c r="B74" s="294">
        <v>42</v>
      </c>
      <c r="C74" s="295">
        <f t="shared" si="5"/>
        <v>37</v>
      </c>
      <c r="D74" s="394" t="s">
        <v>373</v>
      </c>
      <c r="E74" s="394"/>
      <c r="F74" s="296" t="s">
        <v>103</v>
      </c>
      <c r="G74" s="290">
        <v>891101.39</v>
      </c>
      <c r="H74" s="290"/>
      <c r="I74" s="290"/>
      <c r="J74" s="317"/>
      <c r="K74" s="290"/>
      <c r="L74" s="292">
        <f t="shared" si="4"/>
        <v>891101.39</v>
      </c>
    </row>
    <row r="75" spans="1:12" s="358" customFormat="1" ht="15">
      <c r="A75" s="280"/>
      <c r="B75" s="294">
        <v>43</v>
      </c>
      <c r="C75" s="295" t="str">
        <f t="shared" si="5"/>
        <v/>
      </c>
      <c r="D75" s="394" t="s">
        <v>374</v>
      </c>
      <c r="E75" s="394"/>
      <c r="F75" s="296"/>
      <c r="G75" s="290"/>
      <c r="H75" s="290"/>
      <c r="I75" s="290"/>
      <c r="J75" s="317"/>
      <c r="K75" s="290"/>
      <c r="L75" s="292">
        <f t="shared" si="4"/>
        <v>0</v>
      </c>
    </row>
    <row r="76" spans="1:12" s="358" customFormat="1" ht="15">
      <c r="A76" s="280"/>
      <c r="B76" s="294">
        <v>44</v>
      </c>
      <c r="C76" s="295">
        <f t="shared" si="5"/>
        <v>37</v>
      </c>
      <c r="D76" s="394" t="s">
        <v>375</v>
      </c>
      <c r="E76" s="394"/>
      <c r="F76" s="296" t="s">
        <v>103</v>
      </c>
      <c r="G76" s="290">
        <v>143703.33</v>
      </c>
      <c r="H76" s="290">
        <v>389908.38839999994</v>
      </c>
      <c r="I76" s="290"/>
      <c r="J76" s="317"/>
      <c r="K76" s="290">
        <v>6568.565400000008</v>
      </c>
      <c r="L76" s="292">
        <f t="shared" si="4"/>
        <v>540180.2837999999</v>
      </c>
    </row>
    <row r="77" spans="1:12" ht="15">
      <c r="A77" s="280"/>
      <c r="B77" s="294">
        <v>45</v>
      </c>
      <c r="C77" s="295">
        <f t="shared" si="5"/>
        <v>37</v>
      </c>
      <c r="D77" s="394" t="s">
        <v>376</v>
      </c>
      <c r="E77" s="394"/>
      <c r="F77" s="296" t="s">
        <v>103</v>
      </c>
      <c r="G77" s="290">
        <v>5591281.43</v>
      </c>
      <c r="H77" s="290"/>
      <c r="I77" s="290"/>
      <c r="J77" s="317"/>
      <c r="K77" s="290"/>
      <c r="L77" s="292">
        <f>SUM(G77:K77)</f>
        <v>5591281.43</v>
      </c>
    </row>
    <row r="78" spans="1:12" ht="15">
      <c r="A78" s="280"/>
      <c r="B78" s="294">
        <v>46</v>
      </c>
      <c r="C78" s="295" t="str">
        <f t="shared" si="5"/>
        <v/>
      </c>
      <c r="D78" s="394" t="s">
        <v>377</v>
      </c>
      <c r="E78" s="394"/>
      <c r="F78" s="296"/>
      <c r="G78" s="290"/>
      <c r="H78" s="290"/>
      <c r="I78" s="290"/>
      <c r="J78" s="317"/>
      <c r="K78" s="290"/>
      <c r="L78" s="292">
        <f t="shared" si="4"/>
        <v>0</v>
      </c>
    </row>
    <row r="79" spans="1:12" ht="15">
      <c r="A79" s="280"/>
      <c r="B79" s="294">
        <v>47</v>
      </c>
      <c r="C79" s="295">
        <f t="shared" si="5"/>
        <v>37</v>
      </c>
      <c r="D79" s="394" t="s">
        <v>378</v>
      </c>
      <c r="E79" s="394"/>
      <c r="F79" s="296" t="s">
        <v>103</v>
      </c>
      <c r="G79" s="290">
        <v>742056.37</v>
      </c>
      <c r="H79" s="290"/>
      <c r="I79" s="290"/>
      <c r="J79" s="317"/>
      <c r="K79" s="290"/>
      <c r="L79" s="292">
        <f t="shared" si="4"/>
        <v>742056.37</v>
      </c>
    </row>
    <row r="80" spans="1:12" ht="15">
      <c r="A80" s="280"/>
      <c r="B80" s="294">
        <v>48</v>
      </c>
      <c r="C80" s="295">
        <f t="shared" si="5"/>
        <v>37</v>
      </c>
      <c r="D80" s="394" t="s">
        <v>379</v>
      </c>
      <c r="E80" s="394"/>
      <c r="F80" s="296" t="s">
        <v>103</v>
      </c>
      <c r="G80" s="290">
        <v>299832.89</v>
      </c>
      <c r="H80" s="290"/>
      <c r="I80" s="290"/>
      <c r="J80" s="317"/>
      <c r="K80" s="290"/>
      <c r="L80" s="292">
        <f t="shared" si="4"/>
        <v>299832.89</v>
      </c>
    </row>
    <row r="81" spans="1:12" ht="15">
      <c r="A81" s="280"/>
      <c r="B81" s="294">
        <v>49</v>
      </c>
      <c r="C81" s="295">
        <f t="shared" si="5"/>
        <v>37</v>
      </c>
      <c r="D81" s="394" t="s">
        <v>380</v>
      </c>
      <c r="E81" s="394"/>
      <c r="F81" s="296" t="s">
        <v>103</v>
      </c>
      <c r="G81" s="290">
        <v>240244.04</v>
      </c>
      <c r="H81" s="290">
        <v>57971.7788</v>
      </c>
      <c r="I81" s="290"/>
      <c r="J81" s="317"/>
      <c r="K81" s="290"/>
      <c r="L81" s="292">
        <f t="shared" si="4"/>
        <v>298215.8188</v>
      </c>
    </row>
    <row r="82" spans="1:12" ht="15">
      <c r="A82" s="280"/>
      <c r="B82" s="294">
        <v>50</v>
      </c>
      <c r="C82" s="295" t="str">
        <f t="shared" si="5"/>
        <v/>
      </c>
      <c r="D82" s="400" t="s">
        <v>381</v>
      </c>
      <c r="E82" s="400"/>
      <c r="F82" s="296"/>
      <c r="G82" s="290"/>
      <c r="H82" s="290"/>
      <c r="I82" s="290"/>
      <c r="J82" s="317"/>
      <c r="K82" s="290"/>
      <c r="L82" s="292">
        <f t="shared" si="4"/>
        <v>0</v>
      </c>
    </row>
    <row r="83" spans="1:12" ht="15">
      <c r="A83" s="280"/>
      <c r="B83" s="294">
        <v>51</v>
      </c>
      <c r="C83" s="295">
        <f t="shared" si="5"/>
        <v>37</v>
      </c>
      <c r="D83" s="363" t="s">
        <v>382</v>
      </c>
      <c r="E83" s="363"/>
      <c r="F83" s="296" t="s">
        <v>103</v>
      </c>
      <c r="G83" s="290">
        <v>356423.54</v>
      </c>
      <c r="H83" s="290"/>
      <c r="I83" s="290"/>
      <c r="J83" s="317"/>
      <c r="K83" s="290"/>
      <c r="L83" s="292">
        <f t="shared" si="4"/>
        <v>356423.54</v>
      </c>
    </row>
    <row r="84" spans="1:12" ht="15">
      <c r="A84" s="280"/>
      <c r="B84" s="294">
        <v>52</v>
      </c>
      <c r="C84" s="295">
        <f t="shared" si="5"/>
        <v>37</v>
      </c>
      <c r="D84" s="363" t="s">
        <v>383</v>
      </c>
      <c r="E84" s="363" t="s">
        <v>384</v>
      </c>
      <c r="F84" s="296" t="s">
        <v>103</v>
      </c>
      <c r="G84" s="290">
        <v>387179.44</v>
      </c>
      <c r="H84" s="290"/>
      <c r="I84" s="290"/>
      <c r="J84" s="317"/>
      <c r="K84" s="290"/>
      <c r="L84" s="292">
        <f t="shared" si="4"/>
        <v>387179.44</v>
      </c>
    </row>
    <row r="85" spans="1:12" ht="15">
      <c r="A85" s="280"/>
      <c r="B85" s="294">
        <v>53</v>
      </c>
      <c r="C85" s="295">
        <f t="shared" si="5"/>
        <v>37</v>
      </c>
      <c r="D85" s="363" t="s">
        <v>385</v>
      </c>
      <c r="E85" s="363"/>
      <c r="F85" s="296" t="s">
        <v>103</v>
      </c>
      <c r="G85" s="290">
        <v>319961.2</v>
      </c>
      <c r="H85" s="290"/>
      <c r="I85" s="290"/>
      <c r="J85" s="317"/>
      <c r="K85" s="290"/>
      <c r="L85" s="292">
        <f t="shared" si="4"/>
        <v>319961.2</v>
      </c>
    </row>
    <row r="86" spans="1:12" ht="15">
      <c r="A86" s="280"/>
      <c r="B86" s="294">
        <v>54</v>
      </c>
      <c r="C86" s="295">
        <f t="shared" si="5"/>
        <v>37</v>
      </c>
      <c r="D86" s="363" t="s">
        <v>386</v>
      </c>
      <c r="E86" s="363" t="s">
        <v>385</v>
      </c>
      <c r="F86" s="296" t="s">
        <v>103</v>
      </c>
      <c r="G86" s="290">
        <v>35681.91</v>
      </c>
      <c r="H86" s="290">
        <v>21258.795000000002</v>
      </c>
      <c r="I86" s="290"/>
      <c r="J86" s="317"/>
      <c r="K86" s="290"/>
      <c r="L86" s="292">
        <f t="shared" si="4"/>
        <v>56940.705</v>
      </c>
    </row>
    <row r="87" spans="1:12" ht="15">
      <c r="A87" s="280"/>
      <c r="B87" s="294">
        <v>55</v>
      </c>
      <c r="C87" s="295">
        <f t="shared" si="5"/>
        <v>37</v>
      </c>
      <c r="D87" s="363" t="s">
        <v>387</v>
      </c>
      <c r="E87" s="363"/>
      <c r="F87" s="296" t="s">
        <v>103</v>
      </c>
      <c r="G87" s="290">
        <v>902709.01</v>
      </c>
      <c r="H87" s="290"/>
      <c r="I87" s="290"/>
      <c r="J87" s="317"/>
      <c r="K87" s="290"/>
      <c r="L87" s="292">
        <f t="shared" si="4"/>
        <v>902709.01</v>
      </c>
    </row>
    <row r="88" spans="1:12" ht="15">
      <c r="A88" s="280"/>
      <c r="B88" s="294">
        <v>56</v>
      </c>
      <c r="C88" s="295">
        <f t="shared" si="5"/>
        <v>37</v>
      </c>
      <c r="D88" s="363" t="s">
        <v>338</v>
      </c>
      <c r="E88" s="363"/>
      <c r="F88" s="296" t="s">
        <v>103</v>
      </c>
      <c r="G88" s="290">
        <v>42068</v>
      </c>
      <c r="H88" s="290"/>
      <c r="I88" s="290"/>
      <c r="J88" s="317"/>
      <c r="K88" s="290"/>
      <c r="L88" s="292">
        <f t="shared" si="4"/>
        <v>42068</v>
      </c>
    </row>
    <row r="89" spans="1:12" ht="15">
      <c r="A89" s="280"/>
      <c r="B89" s="294">
        <v>57</v>
      </c>
      <c r="C89" s="295">
        <f t="shared" si="5"/>
        <v>37</v>
      </c>
      <c r="D89" s="363" t="s">
        <v>388</v>
      </c>
      <c r="E89" s="363"/>
      <c r="F89" s="296" t="s">
        <v>103</v>
      </c>
      <c r="G89" s="290">
        <v>3683637.74</v>
      </c>
      <c r="H89" s="290"/>
      <c r="I89" s="290"/>
      <c r="J89" s="317"/>
      <c r="K89" s="290"/>
      <c r="L89" s="292">
        <f t="shared" si="4"/>
        <v>3683637.74</v>
      </c>
    </row>
    <row r="90" spans="1:12" ht="15">
      <c r="A90" s="280"/>
      <c r="B90" s="294">
        <v>58</v>
      </c>
      <c r="C90" s="295">
        <f t="shared" si="5"/>
        <v>37</v>
      </c>
      <c r="D90" s="363" t="s">
        <v>389</v>
      </c>
      <c r="E90" s="363" t="s">
        <v>390</v>
      </c>
      <c r="F90" s="296" t="s">
        <v>103</v>
      </c>
      <c r="G90" s="290">
        <v>267439.06</v>
      </c>
      <c r="H90" s="290">
        <v>134770.6984</v>
      </c>
      <c r="I90" s="290"/>
      <c r="J90" s="317"/>
      <c r="K90" s="290"/>
      <c r="L90" s="292">
        <f t="shared" si="4"/>
        <v>402209.7584</v>
      </c>
    </row>
    <row r="91" spans="1:12" ht="15">
      <c r="A91" s="280"/>
      <c r="B91" s="294">
        <v>59</v>
      </c>
      <c r="C91" s="295">
        <f t="shared" si="5"/>
        <v>37</v>
      </c>
      <c r="D91" s="363" t="s">
        <v>391</v>
      </c>
      <c r="E91" s="363"/>
      <c r="F91" s="296" t="s">
        <v>103</v>
      </c>
      <c r="G91" s="290">
        <v>894661.75</v>
      </c>
      <c r="H91" s="290">
        <v>662038.3043999999</v>
      </c>
      <c r="I91" s="290"/>
      <c r="J91" s="317"/>
      <c r="K91" s="290"/>
      <c r="L91" s="292">
        <f t="shared" si="4"/>
        <v>1556700.0543999998</v>
      </c>
    </row>
    <row r="92" spans="1:12" ht="15">
      <c r="A92" s="280"/>
      <c r="B92" s="294">
        <v>60</v>
      </c>
      <c r="C92" s="295">
        <f t="shared" si="5"/>
        <v>37</v>
      </c>
      <c r="D92" s="363" t="s">
        <v>392</v>
      </c>
      <c r="E92" s="363"/>
      <c r="F92" s="296" t="s">
        <v>103</v>
      </c>
      <c r="G92" s="290">
        <v>214957.86</v>
      </c>
      <c r="H92" s="290">
        <v>239161.19160000002</v>
      </c>
      <c r="I92" s="290"/>
      <c r="J92" s="317"/>
      <c r="K92" s="290"/>
      <c r="L92" s="292">
        <f t="shared" si="4"/>
        <v>454119.0516</v>
      </c>
    </row>
    <row r="93" spans="1:12" ht="15">
      <c r="A93" s="280"/>
      <c r="B93" s="294">
        <v>61</v>
      </c>
      <c r="C93" s="295">
        <f t="shared" si="5"/>
        <v>37</v>
      </c>
      <c r="D93" s="363" t="s">
        <v>393</v>
      </c>
      <c r="E93" s="363"/>
      <c r="F93" s="296" t="s">
        <v>103</v>
      </c>
      <c r="G93" s="290">
        <v>598015.01</v>
      </c>
      <c r="H93" s="290">
        <v>169601.7916</v>
      </c>
      <c r="I93" s="290"/>
      <c r="J93" s="317"/>
      <c r="K93" s="290">
        <v>592.3892000000003</v>
      </c>
      <c r="L93" s="292">
        <f t="shared" si="4"/>
        <v>768209.1908</v>
      </c>
    </row>
    <row r="94" spans="1:12" ht="15">
      <c r="A94" s="280"/>
      <c r="B94" s="294">
        <v>62</v>
      </c>
      <c r="C94" s="295">
        <f t="shared" si="5"/>
        <v>37</v>
      </c>
      <c r="D94" s="363" t="s">
        <v>394</v>
      </c>
      <c r="E94" s="363"/>
      <c r="F94" s="296" t="s">
        <v>103</v>
      </c>
      <c r="G94" s="290">
        <v>1220864.19</v>
      </c>
      <c r="H94" s="290">
        <v>43472.599200000004</v>
      </c>
      <c r="I94" s="290"/>
      <c r="J94" s="317"/>
      <c r="K94" s="290">
        <v>93.3864000000001</v>
      </c>
      <c r="L94" s="292">
        <f t="shared" si="4"/>
        <v>1264430.1756</v>
      </c>
    </row>
    <row r="95" spans="1:12" ht="15">
      <c r="A95" s="280"/>
      <c r="B95" s="294">
        <v>63</v>
      </c>
      <c r="C95" s="295">
        <f t="shared" si="5"/>
        <v>37</v>
      </c>
      <c r="D95" s="363" t="s">
        <v>395</v>
      </c>
      <c r="E95" s="363" t="s">
        <v>396</v>
      </c>
      <c r="F95" s="296" t="s">
        <v>103</v>
      </c>
      <c r="G95" s="290">
        <v>628477.94</v>
      </c>
      <c r="H95" s="290"/>
      <c r="I95" s="290"/>
      <c r="J95" s="317"/>
      <c r="K95" s="290"/>
      <c r="L95" s="292">
        <f t="shared" si="4"/>
        <v>628477.94</v>
      </c>
    </row>
    <row r="96" spans="1:12" ht="15">
      <c r="A96" s="280"/>
      <c r="B96" s="294">
        <v>64</v>
      </c>
      <c r="C96" s="295">
        <f t="shared" si="5"/>
        <v>37</v>
      </c>
      <c r="D96" s="363" t="s">
        <v>397</v>
      </c>
      <c r="E96" s="363"/>
      <c r="F96" s="296" t="s">
        <v>103</v>
      </c>
      <c r="G96" s="290">
        <v>1662553.89</v>
      </c>
      <c r="H96" s="290">
        <v>21929.723646979728</v>
      </c>
      <c r="I96" s="290"/>
      <c r="J96" s="317"/>
      <c r="K96" s="290"/>
      <c r="L96" s="292">
        <f t="shared" si="4"/>
        <v>1684483.6136469797</v>
      </c>
    </row>
    <row r="97" spans="1:12" ht="15">
      <c r="A97" s="280"/>
      <c r="B97" s="294">
        <v>65</v>
      </c>
      <c r="C97" s="295">
        <f aca="true" t="shared" si="6" ref="C97:C132">IF(L97&lt;&gt;0,VLOOKUP($D$7,Info_County_Code,2,FALSE),"")</f>
        <v>37</v>
      </c>
      <c r="D97" s="363" t="s">
        <v>398</v>
      </c>
      <c r="E97" s="363"/>
      <c r="F97" s="296" t="s">
        <v>103</v>
      </c>
      <c r="G97" s="290">
        <v>77117.88</v>
      </c>
      <c r="H97" s="290"/>
      <c r="I97" s="290"/>
      <c r="J97" s="317"/>
      <c r="K97" s="290"/>
      <c r="L97" s="292">
        <f t="shared" si="4"/>
        <v>77117.88</v>
      </c>
    </row>
    <row r="98" spans="1:12" ht="15">
      <c r="A98" s="280"/>
      <c r="B98" s="294">
        <v>66</v>
      </c>
      <c r="C98" s="295">
        <f t="shared" si="6"/>
        <v>37</v>
      </c>
      <c r="D98" s="363" t="s">
        <v>399</v>
      </c>
      <c r="E98" s="363"/>
      <c r="F98" s="296" t="s">
        <v>103</v>
      </c>
      <c r="G98" s="290">
        <v>302340</v>
      </c>
      <c r="H98" s="290"/>
      <c r="I98" s="290"/>
      <c r="J98" s="317"/>
      <c r="K98" s="290"/>
      <c r="L98" s="292">
        <f aca="true" t="shared" si="7" ref="L98:L109">SUM(G98:K98)</f>
        <v>302340</v>
      </c>
    </row>
    <row r="99" spans="1:12" ht="15">
      <c r="A99" s="280"/>
      <c r="B99" s="294">
        <v>67</v>
      </c>
      <c r="C99" s="295">
        <f t="shared" si="6"/>
        <v>37</v>
      </c>
      <c r="D99" s="363" t="s">
        <v>400</v>
      </c>
      <c r="E99" s="363"/>
      <c r="F99" s="296" t="s">
        <v>103</v>
      </c>
      <c r="G99" s="290">
        <v>682413.31</v>
      </c>
      <c r="H99" s="290"/>
      <c r="I99" s="290"/>
      <c r="J99" s="317"/>
      <c r="K99" s="290"/>
      <c r="L99" s="292">
        <f t="shared" si="7"/>
        <v>682413.31</v>
      </c>
    </row>
    <row r="100" spans="1:12" ht="15">
      <c r="A100" s="280"/>
      <c r="B100" s="294">
        <v>68</v>
      </c>
      <c r="C100" s="295" t="str">
        <f t="shared" si="6"/>
        <v/>
      </c>
      <c r="D100" s="363" t="s">
        <v>401</v>
      </c>
      <c r="E100" s="363"/>
      <c r="F100" s="296"/>
      <c r="G100" s="290"/>
      <c r="H100" s="290"/>
      <c r="I100" s="290"/>
      <c r="J100" s="317"/>
      <c r="K100" s="290"/>
      <c r="L100" s="292">
        <f t="shared" si="7"/>
        <v>0</v>
      </c>
    </row>
    <row r="101" spans="1:12" ht="15">
      <c r="A101" s="280"/>
      <c r="B101" s="294">
        <v>69</v>
      </c>
      <c r="C101" s="295">
        <f t="shared" si="6"/>
        <v>37</v>
      </c>
      <c r="D101" s="363" t="s">
        <v>402</v>
      </c>
      <c r="E101" s="363"/>
      <c r="F101" s="296" t="s">
        <v>103</v>
      </c>
      <c r="G101" s="290">
        <v>1136169.9</v>
      </c>
      <c r="H101" s="290"/>
      <c r="I101" s="290"/>
      <c r="J101" s="317"/>
      <c r="K101" s="290"/>
      <c r="L101" s="292">
        <f t="shared" si="7"/>
        <v>1136169.9</v>
      </c>
    </row>
    <row r="102" spans="1:12" ht="15">
      <c r="A102" s="280"/>
      <c r="B102" s="294">
        <v>70</v>
      </c>
      <c r="C102" s="295" t="str">
        <f t="shared" si="6"/>
        <v/>
      </c>
      <c r="D102" s="363" t="s">
        <v>403</v>
      </c>
      <c r="E102" s="363"/>
      <c r="F102" s="296"/>
      <c r="G102" s="290"/>
      <c r="H102" s="290"/>
      <c r="I102" s="290"/>
      <c r="J102" s="317"/>
      <c r="K102" s="290"/>
      <c r="L102" s="292">
        <f t="shared" si="7"/>
        <v>0</v>
      </c>
    </row>
    <row r="103" spans="1:12" ht="15">
      <c r="A103" s="280"/>
      <c r="B103" s="294">
        <v>71</v>
      </c>
      <c r="C103" s="295">
        <f t="shared" si="6"/>
        <v>37</v>
      </c>
      <c r="D103" s="363" t="s">
        <v>404</v>
      </c>
      <c r="E103" s="363"/>
      <c r="F103" s="296" t="s">
        <v>103</v>
      </c>
      <c r="G103" s="290">
        <v>1022528.15</v>
      </c>
      <c r="H103" s="290"/>
      <c r="I103" s="290"/>
      <c r="J103" s="317"/>
      <c r="K103" s="290"/>
      <c r="L103" s="292">
        <f t="shared" si="7"/>
        <v>1022528.15</v>
      </c>
    </row>
    <row r="104" spans="1:12" ht="15">
      <c r="A104" s="280"/>
      <c r="B104" s="294">
        <v>72</v>
      </c>
      <c r="C104" s="295">
        <f t="shared" si="6"/>
        <v>37</v>
      </c>
      <c r="D104" s="363" t="s">
        <v>405</v>
      </c>
      <c r="E104" s="363"/>
      <c r="F104" s="296" t="s">
        <v>103</v>
      </c>
      <c r="G104" s="290">
        <v>7836098.3</v>
      </c>
      <c r="H104" s="290">
        <v>8640320.997011397</v>
      </c>
      <c r="I104" s="290"/>
      <c r="J104" s="317"/>
      <c r="K104" s="290">
        <v>306300.2043528389</v>
      </c>
      <c r="L104" s="292">
        <f t="shared" si="7"/>
        <v>16782719.50136424</v>
      </c>
    </row>
    <row r="105" spans="1:12" ht="15">
      <c r="A105" s="280"/>
      <c r="B105" s="294">
        <v>73</v>
      </c>
      <c r="C105" s="295">
        <f t="shared" si="6"/>
        <v>37</v>
      </c>
      <c r="D105" s="363" t="s">
        <v>406</v>
      </c>
      <c r="E105" s="363"/>
      <c r="F105" s="296" t="s">
        <v>103</v>
      </c>
      <c r="G105" s="290">
        <v>343245.24</v>
      </c>
      <c r="H105" s="290"/>
      <c r="I105" s="290"/>
      <c r="J105" s="317"/>
      <c r="K105" s="290"/>
      <c r="L105" s="292">
        <f t="shared" si="7"/>
        <v>343245.24</v>
      </c>
    </row>
    <row r="106" spans="1:12" ht="15">
      <c r="A106" s="280"/>
      <c r="B106" s="294">
        <v>74</v>
      </c>
      <c r="C106" s="295">
        <f t="shared" si="6"/>
        <v>37</v>
      </c>
      <c r="D106" s="363" t="s">
        <v>407</v>
      </c>
      <c r="E106" s="363"/>
      <c r="F106" s="296" t="s">
        <v>103</v>
      </c>
      <c r="G106" s="290">
        <v>633052.49</v>
      </c>
      <c r="H106" s="290"/>
      <c r="I106" s="290"/>
      <c r="J106" s="317"/>
      <c r="K106" s="290"/>
      <c r="L106" s="292">
        <f t="shared" si="7"/>
        <v>633052.49</v>
      </c>
    </row>
    <row r="107" spans="1:12" ht="15">
      <c r="A107" s="280"/>
      <c r="B107" s="294">
        <v>75</v>
      </c>
      <c r="C107" s="295">
        <f t="shared" si="6"/>
        <v>37</v>
      </c>
      <c r="D107" s="363" t="s">
        <v>408</v>
      </c>
      <c r="E107" s="363"/>
      <c r="F107" s="296" t="s">
        <v>103</v>
      </c>
      <c r="G107" s="290">
        <v>4607796.86</v>
      </c>
      <c r="H107" s="290"/>
      <c r="I107" s="290"/>
      <c r="J107" s="317"/>
      <c r="K107" s="290"/>
      <c r="L107" s="292">
        <f t="shared" si="7"/>
        <v>4607796.86</v>
      </c>
    </row>
    <row r="108" spans="1:12" ht="15">
      <c r="A108" s="280"/>
      <c r="B108" s="294">
        <v>76</v>
      </c>
      <c r="C108" s="295">
        <f t="shared" si="6"/>
        <v>37</v>
      </c>
      <c r="D108" s="363" t="s">
        <v>409</v>
      </c>
      <c r="E108" s="363"/>
      <c r="F108" s="296" t="s">
        <v>103</v>
      </c>
      <c r="G108" s="290">
        <v>953240.43</v>
      </c>
      <c r="H108" s="290">
        <v>885105.9905350696</v>
      </c>
      <c r="I108" s="290"/>
      <c r="J108" s="317"/>
      <c r="K108" s="290">
        <v>31660.193447385478</v>
      </c>
      <c r="L108" s="292">
        <f t="shared" si="7"/>
        <v>1870006.613982455</v>
      </c>
    </row>
    <row r="109" spans="1:12" ht="15">
      <c r="A109" s="280"/>
      <c r="B109" s="294">
        <v>77</v>
      </c>
      <c r="C109" s="295">
        <f t="shared" si="6"/>
        <v>37</v>
      </c>
      <c r="D109" s="363" t="s">
        <v>410</v>
      </c>
      <c r="E109" s="363"/>
      <c r="F109" s="296" t="s">
        <v>103</v>
      </c>
      <c r="G109" s="290">
        <v>18479.39</v>
      </c>
      <c r="H109" s="290">
        <v>2374478.74</v>
      </c>
      <c r="I109" s="290"/>
      <c r="J109" s="317"/>
      <c r="K109" s="290"/>
      <c r="L109" s="292">
        <f t="shared" si="7"/>
        <v>2392958.1300000004</v>
      </c>
    </row>
    <row r="110" spans="1:12" s="358" customFormat="1" ht="15">
      <c r="A110" s="280"/>
      <c r="B110" s="294">
        <v>78</v>
      </c>
      <c r="C110" s="295">
        <f t="shared" si="6"/>
        <v>37</v>
      </c>
      <c r="D110" s="363" t="s">
        <v>411</v>
      </c>
      <c r="E110" s="363"/>
      <c r="F110" s="296" t="s">
        <v>103</v>
      </c>
      <c r="G110" s="290">
        <v>956799.64</v>
      </c>
      <c r="H110" s="290"/>
      <c r="I110" s="290"/>
      <c r="J110" s="317"/>
      <c r="K110" s="290"/>
      <c r="L110" s="292">
        <f>SUM(G110:K110)</f>
        <v>956799.64</v>
      </c>
    </row>
    <row r="111" spans="1:12" s="358" customFormat="1" ht="15">
      <c r="A111" s="280"/>
      <c r="B111" s="294">
        <v>79</v>
      </c>
      <c r="C111" s="295">
        <f t="shared" si="6"/>
        <v>37</v>
      </c>
      <c r="D111" s="363" t="s">
        <v>412</v>
      </c>
      <c r="E111" s="363" t="s">
        <v>413</v>
      </c>
      <c r="F111" s="296" t="s">
        <v>103</v>
      </c>
      <c r="G111" s="290">
        <v>460563.62</v>
      </c>
      <c r="H111" s="290"/>
      <c r="I111" s="290"/>
      <c r="J111" s="317"/>
      <c r="K111" s="290"/>
      <c r="L111" s="292">
        <f aca="true" t="shared" si="8" ref="L111:L119">SUM(G111:K111)</f>
        <v>460563.62</v>
      </c>
    </row>
    <row r="112" spans="1:12" s="358" customFormat="1" ht="15">
      <c r="A112" s="280"/>
      <c r="B112" s="294">
        <v>80</v>
      </c>
      <c r="C112" s="295">
        <f t="shared" si="6"/>
        <v>37</v>
      </c>
      <c r="D112" s="363" t="s">
        <v>414</v>
      </c>
      <c r="E112" s="363"/>
      <c r="F112" s="296" t="s">
        <v>103</v>
      </c>
      <c r="G112" s="290">
        <v>97151.92</v>
      </c>
      <c r="H112" s="290"/>
      <c r="I112" s="290"/>
      <c r="J112" s="317"/>
      <c r="K112" s="290"/>
      <c r="L112" s="292">
        <f t="shared" si="8"/>
        <v>97151.92</v>
      </c>
    </row>
    <row r="113" spans="1:12" s="358" customFormat="1" ht="15">
      <c r="A113" s="280"/>
      <c r="B113" s="294">
        <v>81</v>
      </c>
      <c r="C113" s="295">
        <f t="shared" si="6"/>
        <v>37</v>
      </c>
      <c r="D113" s="363" t="s">
        <v>415</v>
      </c>
      <c r="E113" s="363"/>
      <c r="F113" s="296" t="s">
        <v>103</v>
      </c>
      <c r="G113" s="290">
        <v>692740.92</v>
      </c>
      <c r="H113" s="290"/>
      <c r="I113" s="290"/>
      <c r="J113" s="317"/>
      <c r="K113" s="290"/>
      <c r="L113" s="292">
        <f t="shared" si="8"/>
        <v>692740.92</v>
      </c>
    </row>
    <row r="114" spans="1:12" s="358" customFormat="1" ht="15">
      <c r="A114" s="280"/>
      <c r="B114" s="294">
        <v>82</v>
      </c>
      <c r="C114" s="295">
        <f t="shared" si="6"/>
        <v>37</v>
      </c>
      <c r="D114" s="363" t="s">
        <v>416</v>
      </c>
      <c r="E114" s="363" t="s">
        <v>417</v>
      </c>
      <c r="F114" s="296" t="s">
        <v>103</v>
      </c>
      <c r="G114" s="290">
        <v>3619530.94</v>
      </c>
      <c r="H114" s="290"/>
      <c r="I114" s="290"/>
      <c r="J114" s="317"/>
      <c r="K114" s="290"/>
      <c r="L114" s="292">
        <f t="shared" si="8"/>
        <v>3619530.94</v>
      </c>
    </row>
    <row r="115" spans="1:12" s="358" customFormat="1" ht="15">
      <c r="A115" s="280"/>
      <c r="B115" s="294">
        <v>83</v>
      </c>
      <c r="C115" s="295">
        <f t="shared" si="6"/>
        <v>37</v>
      </c>
      <c r="D115" s="363" t="s">
        <v>418</v>
      </c>
      <c r="E115" s="363" t="s">
        <v>419</v>
      </c>
      <c r="F115" s="296" t="s">
        <v>103</v>
      </c>
      <c r="G115" s="290">
        <v>553783.82</v>
      </c>
      <c r="H115" s="290"/>
      <c r="I115" s="290"/>
      <c r="J115" s="317"/>
      <c r="K115" s="290"/>
      <c r="L115" s="292">
        <f t="shared" si="8"/>
        <v>553783.82</v>
      </c>
    </row>
    <row r="116" spans="1:12" s="358" customFormat="1" ht="15">
      <c r="A116" s="280"/>
      <c r="B116" s="294">
        <v>84</v>
      </c>
      <c r="C116" s="295">
        <f t="shared" si="6"/>
        <v>37</v>
      </c>
      <c r="D116" s="363" t="s">
        <v>420</v>
      </c>
      <c r="E116" s="363"/>
      <c r="F116" s="296" t="s">
        <v>103</v>
      </c>
      <c r="G116" s="290">
        <v>414462.97</v>
      </c>
      <c r="H116" s="290"/>
      <c r="I116" s="290"/>
      <c r="J116" s="317"/>
      <c r="K116" s="290"/>
      <c r="L116" s="292">
        <f t="shared" si="8"/>
        <v>414462.97</v>
      </c>
    </row>
    <row r="117" spans="1:12" s="358" customFormat="1" ht="15">
      <c r="A117" s="280"/>
      <c r="B117" s="294">
        <v>85</v>
      </c>
      <c r="C117" s="295">
        <f t="shared" si="6"/>
        <v>37</v>
      </c>
      <c r="D117" s="363" t="s">
        <v>421</v>
      </c>
      <c r="E117" s="363"/>
      <c r="F117" s="296" t="s">
        <v>103</v>
      </c>
      <c r="G117" s="290">
        <v>349791.17</v>
      </c>
      <c r="H117" s="290"/>
      <c r="I117" s="290"/>
      <c r="J117" s="317"/>
      <c r="K117" s="290"/>
      <c r="L117" s="292">
        <f t="shared" si="8"/>
        <v>349791.17</v>
      </c>
    </row>
    <row r="118" spans="1:12" s="358" customFormat="1" ht="15">
      <c r="A118" s="280"/>
      <c r="B118" s="294">
        <v>86</v>
      </c>
      <c r="C118" s="295">
        <f t="shared" si="6"/>
        <v>37</v>
      </c>
      <c r="D118" s="363" t="s">
        <v>362</v>
      </c>
      <c r="E118" s="363"/>
      <c r="F118" s="296" t="s">
        <v>103</v>
      </c>
      <c r="G118" s="290">
        <v>699657.15</v>
      </c>
      <c r="H118" s="290">
        <v>2519877.2</v>
      </c>
      <c r="I118" s="290"/>
      <c r="J118" s="317"/>
      <c r="K118" s="290">
        <v>73248.20000000001</v>
      </c>
      <c r="L118" s="292">
        <f t="shared" si="8"/>
        <v>3292782.5500000003</v>
      </c>
    </row>
    <row r="119" spans="1:12" s="358" customFormat="1" ht="15">
      <c r="A119" s="280"/>
      <c r="B119" s="294">
        <v>87</v>
      </c>
      <c r="C119" s="295">
        <f t="shared" si="6"/>
        <v>37</v>
      </c>
      <c r="D119" s="363" t="s">
        <v>422</v>
      </c>
      <c r="E119" s="363"/>
      <c r="F119" s="296" t="s">
        <v>103</v>
      </c>
      <c r="G119" s="290">
        <v>781788.46</v>
      </c>
      <c r="H119" s="290">
        <v>2344895.6500000004</v>
      </c>
      <c r="I119" s="290"/>
      <c r="J119" s="317"/>
      <c r="K119" s="290">
        <v>87445.05</v>
      </c>
      <c r="L119" s="292">
        <f t="shared" si="8"/>
        <v>3214129.16</v>
      </c>
    </row>
    <row r="120" spans="1:12" ht="15">
      <c r="A120" s="280"/>
      <c r="B120" s="294">
        <v>88</v>
      </c>
      <c r="C120" s="295">
        <f t="shared" si="6"/>
        <v>37</v>
      </c>
      <c r="D120" s="363" t="s">
        <v>423</v>
      </c>
      <c r="E120" s="363"/>
      <c r="F120" s="296" t="s">
        <v>103</v>
      </c>
      <c r="G120" s="290">
        <v>216268.05</v>
      </c>
      <c r="H120" s="290"/>
      <c r="I120" s="290"/>
      <c r="J120" s="317"/>
      <c r="K120" s="290"/>
      <c r="L120" s="292">
        <f>SUM(G120:K120)</f>
        <v>216268.05</v>
      </c>
    </row>
    <row r="121" spans="1:12" ht="15">
      <c r="A121" s="280"/>
      <c r="B121" s="294">
        <v>89</v>
      </c>
      <c r="C121" s="295">
        <f t="shared" si="6"/>
        <v>37</v>
      </c>
      <c r="D121" s="363" t="s">
        <v>424</v>
      </c>
      <c r="E121" s="363"/>
      <c r="F121" s="296" t="s">
        <v>103</v>
      </c>
      <c r="G121" s="290">
        <v>7261783.55</v>
      </c>
      <c r="H121" s="290"/>
      <c r="I121" s="290"/>
      <c r="J121" s="317"/>
      <c r="K121" s="290"/>
      <c r="L121" s="292">
        <f aca="true" t="shared" si="9" ref="L121:L126">SUM(G121:K121)</f>
        <v>7261783.55</v>
      </c>
    </row>
    <row r="122" spans="1:12" ht="15">
      <c r="A122" s="280"/>
      <c r="B122" s="294">
        <v>90</v>
      </c>
      <c r="C122" s="295">
        <f t="shared" si="6"/>
        <v>37</v>
      </c>
      <c r="D122" s="363" t="s">
        <v>399</v>
      </c>
      <c r="E122" s="363"/>
      <c r="F122" s="296" t="s">
        <v>103</v>
      </c>
      <c r="G122" s="290">
        <v>503899.99</v>
      </c>
      <c r="H122" s="290"/>
      <c r="I122" s="290"/>
      <c r="J122" s="317"/>
      <c r="K122" s="290"/>
      <c r="L122" s="292">
        <f t="shared" si="9"/>
        <v>503899.99</v>
      </c>
    </row>
    <row r="123" spans="1:12" ht="15">
      <c r="A123" s="280"/>
      <c r="B123" s="294">
        <v>91</v>
      </c>
      <c r="C123" s="295">
        <f t="shared" si="6"/>
        <v>37</v>
      </c>
      <c r="D123" s="363" t="s">
        <v>425</v>
      </c>
      <c r="E123" s="363"/>
      <c r="F123" s="296" t="s">
        <v>103</v>
      </c>
      <c r="G123" s="290">
        <v>132306.08</v>
      </c>
      <c r="H123" s="290">
        <v>60499.2037</v>
      </c>
      <c r="I123" s="290"/>
      <c r="J123" s="317"/>
      <c r="K123" s="290">
        <v>2302.920100000003</v>
      </c>
      <c r="L123" s="292">
        <f>SUM(G123:K123)</f>
        <v>195108.20379999996</v>
      </c>
    </row>
    <row r="124" spans="1:12" ht="15">
      <c r="A124" s="280"/>
      <c r="B124" s="294">
        <v>92</v>
      </c>
      <c r="C124" s="295">
        <f t="shared" si="6"/>
        <v>37</v>
      </c>
      <c r="D124" s="363" t="s">
        <v>426</v>
      </c>
      <c r="E124" s="363"/>
      <c r="F124" s="296" t="s">
        <v>103</v>
      </c>
      <c r="G124" s="290">
        <v>108193.6</v>
      </c>
      <c r="H124" s="290"/>
      <c r="I124" s="290"/>
      <c r="J124" s="317"/>
      <c r="K124" s="290"/>
      <c r="L124" s="292">
        <f t="shared" si="9"/>
        <v>108193.6</v>
      </c>
    </row>
    <row r="125" spans="1:12" ht="15">
      <c r="A125" s="280"/>
      <c r="B125" s="294">
        <v>93</v>
      </c>
      <c r="C125" s="295">
        <f t="shared" si="6"/>
        <v>37</v>
      </c>
      <c r="D125" s="363" t="s">
        <v>427</v>
      </c>
      <c r="E125" s="363"/>
      <c r="F125" s="296" t="s">
        <v>103</v>
      </c>
      <c r="G125" s="290">
        <v>834926.31</v>
      </c>
      <c r="H125" s="290">
        <v>764577.0256</v>
      </c>
      <c r="I125" s="290"/>
      <c r="J125" s="317"/>
      <c r="K125" s="290">
        <v>32689.59680000002</v>
      </c>
      <c r="L125" s="292">
        <f t="shared" si="9"/>
        <v>1632192.9324</v>
      </c>
    </row>
    <row r="126" spans="1:12" ht="15">
      <c r="A126" s="280"/>
      <c r="B126" s="294">
        <v>94</v>
      </c>
      <c r="C126" s="295" t="str">
        <f t="shared" si="6"/>
        <v/>
      </c>
      <c r="D126" s="363"/>
      <c r="E126" s="363"/>
      <c r="F126" s="296"/>
      <c r="G126" s="290"/>
      <c r="H126" s="290"/>
      <c r="I126" s="290"/>
      <c r="J126" s="317"/>
      <c r="K126" s="290"/>
      <c r="L126" s="292">
        <f t="shared" si="9"/>
        <v>0</v>
      </c>
    </row>
    <row r="127" spans="1:12" s="358" customFormat="1" ht="15">
      <c r="A127" s="280"/>
      <c r="B127" s="294">
        <v>95</v>
      </c>
      <c r="C127" s="295" t="str">
        <f t="shared" si="6"/>
        <v/>
      </c>
      <c r="D127" s="363"/>
      <c r="E127" s="363"/>
      <c r="F127" s="296"/>
      <c r="G127" s="290"/>
      <c r="H127" s="290"/>
      <c r="I127" s="290"/>
      <c r="J127" s="317"/>
      <c r="K127" s="290"/>
      <c r="L127" s="292">
        <f>SUM(G127:K127)</f>
        <v>0</v>
      </c>
    </row>
    <row r="128" spans="1:12" s="358" customFormat="1" ht="15">
      <c r="A128" s="280"/>
      <c r="B128" s="294">
        <v>96</v>
      </c>
      <c r="C128" s="295" t="str">
        <f t="shared" si="6"/>
        <v/>
      </c>
      <c r="D128" s="363"/>
      <c r="E128" s="363"/>
      <c r="F128" s="296"/>
      <c r="G128" s="290"/>
      <c r="H128" s="290"/>
      <c r="I128" s="290"/>
      <c r="J128" s="317"/>
      <c r="K128" s="290"/>
      <c r="L128" s="292">
        <f aca="true" t="shared" si="10" ref="L128">SUM(G128:K128)</f>
        <v>0</v>
      </c>
    </row>
    <row r="129" spans="1:12" ht="15">
      <c r="A129" s="280"/>
      <c r="B129" s="294">
        <v>97</v>
      </c>
      <c r="C129" s="295" t="str">
        <f t="shared" si="6"/>
        <v/>
      </c>
      <c r="D129" s="363"/>
      <c r="E129" s="363"/>
      <c r="F129" s="296"/>
      <c r="G129" s="290"/>
      <c r="H129" s="290"/>
      <c r="I129" s="290"/>
      <c r="J129" s="317"/>
      <c r="K129" s="290"/>
      <c r="L129" s="292">
        <f>SUM(G129:K129)</f>
        <v>0</v>
      </c>
    </row>
    <row r="130" spans="1:12" ht="15">
      <c r="A130" s="280"/>
      <c r="B130" s="294">
        <v>98</v>
      </c>
      <c r="C130" s="295" t="str">
        <f t="shared" si="6"/>
        <v/>
      </c>
      <c r="D130" s="363"/>
      <c r="E130" s="363"/>
      <c r="F130" s="296"/>
      <c r="G130" s="290"/>
      <c r="H130" s="290"/>
      <c r="I130" s="290"/>
      <c r="J130" s="317"/>
      <c r="K130" s="290"/>
      <c r="L130" s="292">
        <f aca="true" t="shared" si="11" ref="L130:L132">SUM(G130:K130)</f>
        <v>0</v>
      </c>
    </row>
    <row r="131" spans="1:12" ht="15">
      <c r="A131" s="280"/>
      <c r="B131" s="294">
        <v>99</v>
      </c>
      <c r="C131" s="295" t="str">
        <f t="shared" si="6"/>
        <v/>
      </c>
      <c r="D131" s="363"/>
      <c r="E131" s="363"/>
      <c r="F131" s="296"/>
      <c r="G131" s="290"/>
      <c r="H131" s="290"/>
      <c r="I131" s="290"/>
      <c r="J131" s="317"/>
      <c r="K131" s="290"/>
      <c r="L131" s="292">
        <f t="shared" si="11"/>
        <v>0</v>
      </c>
    </row>
    <row r="132" spans="1:12" ht="15">
      <c r="A132" s="280"/>
      <c r="B132" s="294">
        <v>100</v>
      </c>
      <c r="C132" s="295" t="str">
        <f t="shared" si="6"/>
        <v/>
      </c>
      <c r="D132" s="401"/>
      <c r="E132" s="401"/>
      <c r="F132" s="297"/>
      <c r="G132" s="290"/>
      <c r="H132" s="290"/>
      <c r="I132" s="290"/>
      <c r="J132" s="348"/>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43" r:id="rId1"/>
  <headerFooter>
    <oddFooter>&amp;C&amp;"Arial,Regular"&amp;16Page &amp;P of &amp;N</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B1">
      <selection activeCell="D7" sqref="D7"/>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3"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2" t="str">
        <f>'1. Information'!B2</f>
        <v>Version 7/1/2018</v>
      </c>
      <c r="R2" s="414"/>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4" t="s">
        <v>1</v>
      </c>
      <c r="C7" s="445"/>
      <c r="D7" s="9" t="str">
        <f>IF(ISBLANK('1. Information'!D8),"",'1. Information'!D8)</f>
        <v>San Diego</v>
      </c>
      <c r="F7" s="94" t="s">
        <v>2</v>
      </c>
      <c r="G7" s="109">
        <f>IF(ISBLANK('1. Information'!D7),"",'1. Information'!D7)</f>
        <v>43452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44" t="s">
        <v>30</v>
      </c>
      <c r="H12" s="442"/>
      <c r="I12" s="442"/>
      <c r="J12" s="445"/>
      <c r="K12" s="302"/>
      <c r="L12"/>
      <c r="M12"/>
      <c r="N12"/>
      <c r="O12"/>
      <c r="P12"/>
      <c r="Q12"/>
      <c r="AL12" s="108"/>
      <c r="AM12" s="108"/>
      <c r="AN12" s="108"/>
    </row>
    <row r="13" spans="3:40" ht="47.25" customHeight="1">
      <c r="C13" s="453"/>
      <c r="D13" s="453"/>
      <c r="E13" s="453"/>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9" t="s">
        <v>3</v>
      </c>
      <c r="D14" s="449"/>
      <c r="E14" s="446"/>
      <c r="F14" s="290"/>
      <c r="G14" s="352"/>
      <c r="H14" s="352"/>
      <c r="I14" s="352"/>
      <c r="J14" s="352"/>
      <c r="K14" s="291">
        <f>SUM(F14:J14)</f>
        <v>0</v>
      </c>
      <c r="L14"/>
      <c r="M14"/>
      <c r="N14"/>
      <c r="O14"/>
      <c r="P14"/>
      <c r="Q14"/>
      <c r="R14" s="413"/>
      <c r="S14"/>
      <c r="T14"/>
      <c r="U14"/>
      <c r="V14"/>
      <c r="W14"/>
      <c r="X14"/>
      <c r="Y14"/>
      <c r="Z14"/>
      <c r="AA14"/>
      <c r="AB14"/>
      <c r="AC14"/>
      <c r="AD14"/>
      <c r="AE14"/>
      <c r="AF14"/>
      <c r="AG14"/>
      <c r="AH14"/>
      <c r="AI14"/>
      <c r="AJ14"/>
      <c r="AK14"/>
    </row>
    <row r="15" spans="2:37" s="110" customFormat="1" ht="15" customHeight="1">
      <c r="B15" s="255">
        <v>2</v>
      </c>
      <c r="C15" s="449" t="s">
        <v>133</v>
      </c>
      <c r="D15" s="449"/>
      <c r="E15" s="446"/>
      <c r="F15" s="290"/>
      <c r="G15" s="352"/>
      <c r="H15" s="352"/>
      <c r="I15" s="352"/>
      <c r="J15" s="352"/>
      <c r="K15" s="291">
        <f aca="true" t="shared" si="0" ref="K15:K20">SUM(F15:J15)</f>
        <v>0</v>
      </c>
      <c r="L15"/>
      <c r="M15"/>
      <c r="N15"/>
      <c r="O15"/>
      <c r="P15"/>
      <c r="Q15"/>
      <c r="R15" s="413"/>
      <c r="S15"/>
      <c r="T15"/>
      <c r="U15"/>
      <c r="V15"/>
      <c r="W15"/>
      <c r="X15"/>
      <c r="Y15"/>
      <c r="Z15"/>
      <c r="AA15"/>
      <c r="AB15"/>
      <c r="AC15"/>
      <c r="AD15"/>
      <c r="AE15"/>
      <c r="AF15"/>
      <c r="AG15"/>
      <c r="AH15"/>
      <c r="AI15"/>
      <c r="AJ15"/>
      <c r="AK15"/>
    </row>
    <row r="16" spans="2:37" s="110" customFormat="1" ht="15" customHeight="1">
      <c r="B16" s="255">
        <v>3</v>
      </c>
      <c r="C16" s="454" t="s">
        <v>149</v>
      </c>
      <c r="D16" s="454"/>
      <c r="E16" s="455"/>
      <c r="F16" s="387">
        <v>6504973.52</v>
      </c>
      <c r="G16" s="386">
        <v>2187341.27</v>
      </c>
      <c r="H16" s="386"/>
      <c r="I16" s="386"/>
      <c r="J16" s="386">
        <v>36459.69</v>
      </c>
      <c r="K16" s="291">
        <f t="shared" si="0"/>
        <v>8728774.479999999</v>
      </c>
      <c r="L16"/>
      <c r="M16"/>
      <c r="N16"/>
      <c r="O16"/>
      <c r="P16"/>
      <c r="Q16"/>
      <c r="R16" s="413"/>
      <c r="S16"/>
      <c r="T16"/>
      <c r="U16"/>
      <c r="V16"/>
      <c r="W16"/>
      <c r="X16"/>
      <c r="Y16"/>
      <c r="Z16"/>
      <c r="AA16"/>
      <c r="AB16"/>
      <c r="AC16"/>
      <c r="AD16"/>
      <c r="AE16"/>
      <c r="AF16"/>
      <c r="AG16"/>
      <c r="AH16"/>
      <c r="AI16"/>
      <c r="AJ16"/>
      <c r="AK16"/>
    </row>
    <row r="17" spans="2:37" s="110" customFormat="1" ht="15" customHeight="1">
      <c r="B17" s="255">
        <v>4</v>
      </c>
      <c r="C17" s="449" t="s">
        <v>228</v>
      </c>
      <c r="D17" s="449"/>
      <c r="E17" s="446"/>
      <c r="F17" s="290">
        <v>438828</v>
      </c>
      <c r="G17" s="386"/>
      <c r="H17" s="386"/>
      <c r="I17" s="386"/>
      <c r="J17" s="386"/>
      <c r="K17" s="291">
        <f t="shared" si="0"/>
        <v>438828</v>
      </c>
      <c r="L17"/>
      <c r="M17"/>
      <c r="N17"/>
      <c r="O17"/>
      <c r="P17"/>
      <c r="Q17"/>
      <c r="R17" s="413"/>
      <c r="S17"/>
      <c r="T17"/>
      <c r="U17"/>
      <c r="V17"/>
      <c r="W17"/>
      <c r="X17"/>
      <c r="Y17"/>
      <c r="Z17"/>
      <c r="AA17"/>
      <c r="AB17"/>
      <c r="AC17"/>
      <c r="AD17"/>
      <c r="AE17"/>
      <c r="AF17"/>
      <c r="AG17"/>
      <c r="AH17"/>
      <c r="AI17"/>
      <c r="AJ17"/>
      <c r="AK17"/>
    </row>
    <row r="18" spans="2:37" s="110" customFormat="1" ht="15" customHeight="1">
      <c r="B18" s="255">
        <v>5</v>
      </c>
      <c r="C18" s="449" t="s">
        <v>215</v>
      </c>
      <c r="D18" s="449"/>
      <c r="E18" s="446"/>
      <c r="F18" s="388">
        <v>400000</v>
      </c>
      <c r="G18" s="402"/>
      <c r="H18" s="402"/>
      <c r="I18" s="402"/>
      <c r="J18" s="402"/>
      <c r="K18" s="291">
        <f t="shared" si="0"/>
        <v>400000</v>
      </c>
      <c r="L18"/>
      <c r="M18"/>
      <c r="N18"/>
      <c r="O18"/>
      <c r="P18"/>
      <c r="Q18"/>
      <c r="R18" s="413"/>
      <c r="S18"/>
      <c r="T18"/>
      <c r="U18"/>
      <c r="V18"/>
      <c r="W18"/>
      <c r="X18"/>
      <c r="Y18"/>
      <c r="Z18"/>
      <c r="AA18"/>
      <c r="AB18"/>
      <c r="AC18"/>
      <c r="AD18"/>
      <c r="AE18"/>
      <c r="AF18"/>
      <c r="AG18"/>
      <c r="AH18"/>
      <c r="AI18"/>
      <c r="AJ18"/>
      <c r="AK18"/>
    </row>
    <row r="19" spans="2:37" s="110" customFormat="1" ht="15" customHeight="1">
      <c r="B19" s="255">
        <v>6</v>
      </c>
      <c r="C19" s="449" t="s">
        <v>217</v>
      </c>
      <c r="D19" s="449"/>
      <c r="E19" s="446"/>
      <c r="F19" s="290">
        <v>22432</v>
      </c>
      <c r="G19" s="402"/>
      <c r="H19" s="402"/>
      <c r="I19" s="402"/>
      <c r="J19" s="402"/>
      <c r="K19" s="291">
        <f t="shared" si="0"/>
        <v>22432</v>
      </c>
      <c r="L19"/>
      <c r="M19"/>
      <c r="N19"/>
      <c r="O19"/>
      <c r="P19"/>
      <c r="Q19"/>
      <c r="R19" s="413"/>
      <c r="S19"/>
      <c r="T19"/>
      <c r="U19"/>
      <c r="V19"/>
      <c r="W19"/>
      <c r="X19"/>
      <c r="Y19"/>
      <c r="Z19"/>
      <c r="AA19"/>
      <c r="AB19"/>
      <c r="AC19"/>
      <c r="AD19"/>
      <c r="AE19"/>
      <c r="AF19"/>
      <c r="AG19"/>
      <c r="AH19"/>
      <c r="AI19"/>
      <c r="AJ19"/>
      <c r="AK19"/>
    </row>
    <row r="20" spans="2:37" s="110" customFormat="1" ht="15" customHeight="1">
      <c r="B20" s="255">
        <v>7</v>
      </c>
      <c r="C20" s="435" t="s">
        <v>150</v>
      </c>
      <c r="D20" s="435"/>
      <c r="E20" s="435"/>
      <c r="F20" s="314">
        <f>SUMIF($G$36:$G$135,"Combined Summary",L$36:L$135)+SUMIF($F$36:$F$135,"Standalone",L$36:L$135)</f>
        <v>31614265.236920305</v>
      </c>
      <c r="G20" s="119">
        <f>SUMIF($G$36:$G$135,"Combined Summary",M$36:M$135)+SUMIF($F$36:$F$135,"Standalone",M$36:M$135)</f>
        <v>617372.6216482086</v>
      </c>
      <c r="H20" s="119">
        <f>SUMIF($G$36:$G$135,"Combined Summary",N$36:N$135)+SUMIF($F$36:$F$135,"Standalone",N$36:N$135)</f>
        <v>0</v>
      </c>
      <c r="I20" s="119">
        <f>SUMIF($G$36:$G$135,"Combined Summary",O$36:O$135)+SUMIF($F$36:$F$135,"Standalone",O$36:O$135)</f>
        <v>0</v>
      </c>
      <c r="J20" s="119">
        <f>SUMIF($G$36:$G$135,"Combined Summary",P$36:P$135)+SUMIF($F$36:$F$135,"Standalone",P$36:P$135)</f>
        <v>6087.001431486498</v>
      </c>
      <c r="K20" s="292">
        <f t="shared" si="0"/>
        <v>32237724.86</v>
      </c>
      <c r="L20"/>
      <c r="M20"/>
      <c r="N20"/>
      <c r="O20"/>
      <c r="P20"/>
      <c r="Q20"/>
      <c r="R20" s="413"/>
      <c r="S20"/>
      <c r="T20"/>
      <c r="U20"/>
      <c r="V20"/>
      <c r="W20"/>
      <c r="X20"/>
      <c r="Y20"/>
      <c r="Z20"/>
      <c r="AA20"/>
      <c r="AB20"/>
      <c r="AC20"/>
      <c r="AD20"/>
      <c r="AE20"/>
      <c r="AF20"/>
      <c r="AG20"/>
      <c r="AH20"/>
      <c r="AI20"/>
      <c r="AJ20"/>
      <c r="AK20"/>
    </row>
    <row r="21" spans="2:37" s="110" customFormat="1" ht="30.95" customHeight="1">
      <c r="B21" s="123">
        <v>8</v>
      </c>
      <c r="C21" s="459" t="s">
        <v>229</v>
      </c>
      <c r="D21" s="459"/>
      <c r="E21" s="459"/>
      <c r="F21" s="8">
        <f>SUM(F14:F16,F19:F20)</f>
        <v>38141670.75692031</v>
      </c>
      <c r="G21" s="8">
        <f aca="true" t="shared" si="1" ref="G21:K21">SUM(G14:G16,G19:G20)</f>
        <v>2804713.8916482087</v>
      </c>
      <c r="H21" s="8">
        <f t="shared" si="1"/>
        <v>0</v>
      </c>
      <c r="I21" s="8">
        <f t="shared" si="1"/>
        <v>0</v>
      </c>
      <c r="J21" s="8">
        <f t="shared" si="1"/>
        <v>42546.6914314865</v>
      </c>
      <c r="K21" s="8">
        <f t="shared" si="1"/>
        <v>40988931.339999996</v>
      </c>
      <c r="L21"/>
      <c r="M21"/>
      <c r="N21"/>
      <c r="O21"/>
      <c r="P21"/>
      <c r="Q21"/>
      <c r="R21" s="413"/>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8" t="s">
        <v>234</v>
      </c>
      <c r="G26" s="456" t="s">
        <v>233</v>
      </c>
      <c r="H26" s="110"/>
      <c r="I26" s="110"/>
      <c r="J26" s="110"/>
      <c r="K26" s="110"/>
      <c r="L26" s="110"/>
      <c r="M26" s="110"/>
      <c r="N26" s="110"/>
      <c r="O26" s="110"/>
      <c r="P26" s="110"/>
      <c r="Q26" s="110"/>
    </row>
    <row r="27" spans="2:17" ht="15" customHeight="1">
      <c r="B27" s="99"/>
      <c r="C27" s="99"/>
      <c r="D27" s="99"/>
      <c r="E27" s="99"/>
      <c r="F27" s="458"/>
      <c r="G27" s="456"/>
      <c r="H27" s="110"/>
      <c r="I27" s="110"/>
      <c r="J27" s="110"/>
      <c r="K27" s="110"/>
      <c r="L27" s="110"/>
      <c r="M27" s="110"/>
      <c r="N27" s="110"/>
      <c r="O27" s="110"/>
      <c r="P27" s="110"/>
      <c r="Q27" s="110"/>
    </row>
    <row r="28" spans="2:17" ht="15">
      <c r="B28" s="99"/>
      <c r="C28" s="99"/>
      <c r="D28" s="99"/>
      <c r="E28" s="99"/>
      <c r="F28" s="458"/>
      <c r="G28" s="457"/>
      <c r="H28" s="110"/>
      <c r="I28" s="110"/>
      <c r="J28" s="110"/>
      <c r="K28" s="110"/>
      <c r="L28" s="110"/>
      <c r="M28" s="110"/>
      <c r="N28" s="110"/>
      <c r="O28" s="110"/>
      <c r="P28" s="110"/>
      <c r="Q28" s="110"/>
    </row>
    <row r="29" spans="2:17" ht="51.75" customHeight="1">
      <c r="B29" s="130">
        <v>1</v>
      </c>
      <c r="C29" s="450" t="s">
        <v>245</v>
      </c>
      <c r="D29" s="451"/>
      <c r="E29" s="452"/>
      <c r="F29" s="10">
        <f>IF(F21=0,"",((SUMPRODUCT($K$36:$K$135,$L$36:$L$135)+(F19*G29))/$F$21))</f>
        <v>0.42114531825937956</v>
      </c>
      <c r="G29" s="79"/>
      <c r="H29" s="110"/>
      <c r="I29" s="110"/>
      <c r="J29" s="110"/>
      <c r="K29" s="110"/>
      <c r="L29" s="110"/>
      <c r="M29" s="110"/>
      <c r="N29" s="110"/>
      <c r="O29" s="110"/>
      <c r="P29" s="110"/>
      <c r="Q29" s="110"/>
    </row>
    <row r="30" spans="18:40" s="99" customFormat="1" ht="15">
      <c r="R30" s="413"/>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42" t="s">
        <v>165</v>
      </c>
      <c r="E34" s="442"/>
      <c r="F34" s="442"/>
      <c r="G34" s="442"/>
      <c r="H34" s="442"/>
      <c r="I34" s="442"/>
      <c r="J34" s="442"/>
      <c r="K34" s="442"/>
      <c r="L34" s="339" t="s">
        <v>28</v>
      </c>
      <c r="M34" s="444" t="s">
        <v>30</v>
      </c>
      <c r="N34" s="442"/>
      <c r="O34" s="442"/>
      <c r="P34" s="445"/>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37</v>
      </c>
      <c r="D36" s="394" t="s">
        <v>428</v>
      </c>
      <c r="E36" s="394" t="s">
        <v>428</v>
      </c>
      <c r="F36" s="415"/>
      <c r="G36" s="416"/>
      <c r="H36" s="415"/>
      <c r="I36" s="420"/>
      <c r="J36" s="420"/>
      <c r="K36" s="349" t="str">
        <f>IF(OR(G36="Combined Summary",F36="Standalone"),(SUMPRODUCT(--(D$36:D$135=D36),I$36:I$135,J$36:J$135)),"")</f>
        <v/>
      </c>
      <c r="L36" s="290"/>
      <c r="M36" s="400"/>
      <c r="N36" s="289"/>
      <c r="O36" s="289"/>
      <c r="P36" s="289"/>
      <c r="Q36" s="350">
        <f>SUM(L36:P36)</f>
        <v>0</v>
      </c>
      <c r="R36" s="408" t="str">
        <f>IF(OR(G36="Combined Summary",F36="Standalone"),(SUMIF(D$36:D$135,D36,I$36:I$135)),"")</f>
        <v/>
      </c>
      <c r="S36" s="406" t="str">
        <f>IF(AND(F36="Standalone",NOT(R36=1)),"ERROR",IF(AND(G36="Combined Summary",NOT(R36=1)),"ERROR",""))</f>
        <v/>
      </c>
      <c r="AL36" s="108"/>
      <c r="AM36" s="108"/>
      <c r="AN36" s="108"/>
    </row>
    <row r="37" spans="2:40" ht="15">
      <c r="B37" s="362">
        <v>2</v>
      </c>
      <c r="C37" s="132">
        <f t="shared" si="2"/>
        <v>37</v>
      </c>
      <c r="D37" s="394" t="s">
        <v>429</v>
      </c>
      <c r="E37" s="394"/>
      <c r="F37" s="415" t="s">
        <v>143</v>
      </c>
      <c r="G37" s="416" t="s">
        <v>137</v>
      </c>
      <c r="H37" s="415"/>
      <c r="I37" s="420">
        <v>1</v>
      </c>
      <c r="J37" s="420">
        <v>0.276</v>
      </c>
      <c r="K37" s="349">
        <f aca="true" t="shared" si="3" ref="K37:K100">IF(OR(G37="Combined Summary",F37="Standalone"),(SUMPRODUCT(--(D$36:D$135=D37),I$36:I$135,J$36:J$135)),"")</f>
        <v>0.276</v>
      </c>
      <c r="L37" s="290">
        <v>681719.84</v>
      </c>
      <c r="M37" s="400"/>
      <c r="N37" s="289"/>
      <c r="O37" s="289"/>
      <c r="P37" s="289"/>
      <c r="Q37" s="350">
        <f aca="true" t="shared" si="4" ref="Q37:Q100">SUM(L37:P37)</f>
        <v>681719.84</v>
      </c>
      <c r="R37" s="408">
        <f aca="true" t="shared" si="5" ref="R37:R100">IF(OR(G37="Combined Summary",F37="Standalone"),(SUMIF(D$36:D$135,D37,I$36:I$135)),"")</f>
        <v>1</v>
      </c>
      <c r="S37" s="406"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15">
      <c r="B38" s="362">
        <v>3</v>
      </c>
      <c r="C38" s="132">
        <f t="shared" si="2"/>
        <v>37</v>
      </c>
      <c r="D38" s="394" t="s">
        <v>430</v>
      </c>
      <c r="E38" s="394" t="s">
        <v>431</v>
      </c>
      <c r="F38" s="415" t="s">
        <v>143</v>
      </c>
      <c r="G38" s="416" t="s">
        <v>137</v>
      </c>
      <c r="H38" s="415"/>
      <c r="I38" s="420">
        <v>1</v>
      </c>
      <c r="J38" s="420">
        <v>0.276</v>
      </c>
      <c r="K38" s="349">
        <f t="shared" si="3"/>
        <v>0.276</v>
      </c>
      <c r="L38" s="290">
        <v>92806.59</v>
      </c>
      <c r="M38" s="400"/>
      <c r="N38" s="289"/>
      <c r="O38" s="289"/>
      <c r="P38" s="289"/>
      <c r="Q38" s="350">
        <f t="shared" si="4"/>
        <v>92806.59</v>
      </c>
      <c r="R38" s="408">
        <f t="shared" si="5"/>
        <v>1</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30.75">
      <c r="B39" s="362">
        <v>4</v>
      </c>
      <c r="C39" s="132">
        <f t="shared" si="2"/>
        <v>37</v>
      </c>
      <c r="D39" s="394" t="s">
        <v>432</v>
      </c>
      <c r="E39" s="394" t="s">
        <v>433</v>
      </c>
      <c r="F39" s="415" t="s">
        <v>143</v>
      </c>
      <c r="G39" s="416" t="s">
        <v>137</v>
      </c>
      <c r="H39" s="415"/>
      <c r="I39" s="420">
        <v>1</v>
      </c>
      <c r="J39" s="420">
        <v>1</v>
      </c>
      <c r="K39" s="349">
        <f t="shared" si="3"/>
        <v>1</v>
      </c>
      <c r="L39" s="421">
        <v>685783.25</v>
      </c>
      <c r="M39" s="400"/>
      <c r="N39" s="289"/>
      <c r="O39" s="289"/>
      <c r="P39" s="289"/>
      <c r="Q39" s="350">
        <f t="shared" si="4"/>
        <v>685783.25</v>
      </c>
      <c r="R39" s="408">
        <f t="shared" si="5"/>
        <v>1</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30.75">
      <c r="B40" s="362">
        <v>5</v>
      </c>
      <c r="C40" s="132">
        <f t="shared" si="2"/>
        <v>37</v>
      </c>
      <c r="D40" s="394" t="s">
        <v>402</v>
      </c>
      <c r="E40" s="394"/>
      <c r="F40" s="415" t="s">
        <v>143</v>
      </c>
      <c r="G40" s="416" t="s">
        <v>137</v>
      </c>
      <c r="H40" s="415"/>
      <c r="I40" s="420">
        <v>1</v>
      </c>
      <c r="J40" s="420">
        <v>0.276</v>
      </c>
      <c r="K40" s="349">
        <f t="shared" si="3"/>
        <v>0.276</v>
      </c>
      <c r="L40" s="290">
        <v>1529496.21</v>
      </c>
      <c r="M40" s="400"/>
      <c r="N40" s="289"/>
      <c r="O40" s="289"/>
      <c r="P40" s="289"/>
      <c r="Q40" s="350">
        <f t="shared" si="4"/>
        <v>1529496.21</v>
      </c>
      <c r="R40" s="408">
        <f t="shared" si="5"/>
        <v>1</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45.75">
      <c r="B41" s="362">
        <v>6</v>
      </c>
      <c r="C41" s="132">
        <f t="shared" si="2"/>
        <v>37</v>
      </c>
      <c r="D41" s="394" t="s">
        <v>434</v>
      </c>
      <c r="E41" s="394"/>
      <c r="F41" s="415" t="s">
        <v>143</v>
      </c>
      <c r="G41" s="416" t="s">
        <v>137</v>
      </c>
      <c r="H41" s="415"/>
      <c r="I41" s="420">
        <v>1</v>
      </c>
      <c r="J41" s="420">
        <v>0.276</v>
      </c>
      <c r="K41" s="349">
        <f t="shared" si="3"/>
        <v>0.276</v>
      </c>
      <c r="L41" s="290">
        <v>287683.73</v>
      </c>
      <c r="M41" s="400"/>
      <c r="N41" s="289"/>
      <c r="O41" s="289"/>
      <c r="P41" s="289"/>
      <c r="Q41" s="350">
        <f t="shared" si="4"/>
        <v>287683.73</v>
      </c>
      <c r="R41" s="408">
        <f t="shared" si="5"/>
        <v>1</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30.75">
      <c r="B42" s="362">
        <v>7</v>
      </c>
      <c r="C42" s="132">
        <f t="shared" si="2"/>
        <v>37</v>
      </c>
      <c r="D42" s="394" t="s">
        <v>378</v>
      </c>
      <c r="E42" s="394"/>
      <c r="F42" s="415" t="s">
        <v>143</v>
      </c>
      <c r="G42" s="416" t="s">
        <v>137</v>
      </c>
      <c r="H42" s="415"/>
      <c r="I42" s="420">
        <v>1</v>
      </c>
      <c r="J42" s="420">
        <v>0.5</v>
      </c>
      <c r="K42" s="349">
        <f t="shared" si="3"/>
        <v>0.5</v>
      </c>
      <c r="L42" s="290">
        <v>1596438.41</v>
      </c>
      <c r="M42" s="400"/>
      <c r="N42" s="289"/>
      <c r="O42" s="289"/>
      <c r="P42" s="289"/>
      <c r="Q42" s="350">
        <f t="shared" si="4"/>
        <v>1596438.41</v>
      </c>
      <c r="R42" s="408">
        <f t="shared" si="5"/>
        <v>1</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30.75">
      <c r="B43" s="362">
        <v>8</v>
      </c>
      <c r="C43" s="132">
        <f t="shared" si="2"/>
        <v>37</v>
      </c>
      <c r="D43" s="394" t="s">
        <v>435</v>
      </c>
      <c r="E43" s="394"/>
      <c r="F43" s="415" t="s">
        <v>143</v>
      </c>
      <c r="G43" s="416" t="s">
        <v>137</v>
      </c>
      <c r="H43" s="415"/>
      <c r="I43" s="420">
        <v>1</v>
      </c>
      <c r="J43" s="420">
        <v>1</v>
      </c>
      <c r="K43" s="349">
        <f t="shared" si="3"/>
        <v>1</v>
      </c>
      <c r="L43" s="290">
        <v>190240.1</v>
      </c>
      <c r="M43" s="400"/>
      <c r="N43" s="289"/>
      <c r="O43" s="289"/>
      <c r="P43" s="289"/>
      <c r="Q43" s="350">
        <f t="shared" si="4"/>
        <v>190240.1</v>
      </c>
      <c r="R43" s="408">
        <f t="shared" si="5"/>
        <v>1</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30.75">
      <c r="B44" s="362">
        <v>9</v>
      </c>
      <c r="C44" s="132">
        <f t="shared" si="2"/>
        <v>37</v>
      </c>
      <c r="D44" s="394" t="s">
        <v>436</v>
      </c>
      <c r="E44" s="394"/>
      <c r="F44" s="415" t="s">
        <v>143</v>
      </c>
      <c r="G44" s="416" t="s">
        <v>137</v>
      </c>
      <c r="H44" s="415"/>
      <c r="I44" s="420">
        <v>1</v>
      </c>
      <c r="J44" s="420">
        <v>0.276</v>
      </c>
      <c r="K44" s="349">
        <f t="shared" si="3"/>
        <v>0.276</v>
      </c>
      <c r="L44" s="290">
        <v>343519.71</v>
      </c>
      <c r="M44" s="400"/>
      <c r="N44" s="289"/>
      <c r="O44" s="289"/>
      <c r="P44" s="289"/>
      <c r="Q44" s="350">
        <f t="shared" si="4"/>
        <v>343519.71</v>
      </c>
      <c r="R44" s="408">
        <f t="shared" si="5"/>
        <v>1</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30.75">
      <c r="B45" s="362">
        <v>10</v>
      </c>
      <c r="C45" s="132">
        <f t="shared" si="2"/>
        <v>37</v>
      </c>
      <c r="D45" s="394" t="s">
        <v>437</v>
      </c>
      <c r="E45" s="394"/>
      <c r="F45" s="415" t="s">
        <v>143</v>
      </c>
      <c r="G45" s="416" t="s">
        <v>137</v>
      </c>
      <c r="H45" s="415"/>
      <c r="I45" s="420">
        <v>1</v>
      </c>
      <c r="J45" s="420">
        <v>0.5</v>
      </c>
      <c r="K45" s="349">
        <f t="shared" si="3"/>
        <v>0.5</v>
      </c>
      <c r="L45" s="290">
        <v>922864.27</v>
      </c>
      <c r="M45" s="400"/>
      <c r="N45" s="289"/>
      <c r="O45" s="289"/>
      <c r="P45" s="289"/>
      <c r="Q45" s="350">
        <f t="shared" si="4"/>
        <v>922864.27</v>
      </c>
      <c r="R45" s="408">
        <f t="shared" si="5"/>
        <v>1</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30.75">
      <c r="B46" s="362">
        <v>11</v>
      </c>
      <c r="C46" s="132">
        <f t="shared" si="2"/>
        <v>37</v>
      </c>
      <c r="D46" s="394" t="s">
        <v>438</v>
      </c>
      <c r="E46" s="394"/>
      <c r="F46" s="415" t="s">
        <v>143</v>
      </c>
      <c r="G46" s="416" t="s">
        <v>137</v>
      </c>
      <c r="H46" s="415"/>
      <c r="I46" s="420">
        <v>1</v>
      </c>
      <c r="J46" s="420">
        <v>0.276</v>
      </c>
      <c r="K46" s="349">
        <f t="shared" si="3"/>
        <v>0.276</v>
      </c>
      <c r="L46" s="290">
        <v>237832.69</v>
      </c>
      <c r="M46" s="400"/>
      <c r="N46" s="289"/>
      <c r="O46" s="289"/>
      <c r="P46" s="289"/>
      <c r="Q46" s="350">
        <f t="shared" si="4"/>
        <v>237832.69</v>
      </c>
      <c r="R46" s="408">
        <f t="shared" si="5"/>
        <v>1</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15">
      <c r="B47" s="362">
        <v>12</v>
      </c>
      <c r="C47" s="132">
        <f t="shared" si="2"/>
        <v>37</v>
      </c>
      <c r="D47" s="394" t="s">
        <v>439</v>
      </c>
      <c r="E47" s="394"/>
      <c r="F47" s="415" t="s">
        <v>143</v>
      </c>
      <c r="G47" s="416" t="s">
        <v>137</v>
      </c>
      <c r="H47" s="415"/>
      <c r="I47" s="420">
        <v>1</v>
      </c>
      <c r="J47" s="420">
        <v>0.276</v>
      </c>
      <c r="K47" s="349">
        <f t="shared" si="3"/>
        <v>0.276</v>
      </c>
      <c r="L47" s="290">
        <v>89167.05</v>
      </c>
      <c r="M47" s="400"/>
      <c r="N47" s="289"/>
      <c r="O47" s="289"/>
      <c r="P47" s="289"/>
      <c r="Q47" s="350">
        <f t="shared" si="4"/>
        <v>89167.05</v>
      </c>
      <c r="R47" s="408">
        <f t="shared" si="5"/>
        <v>1</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15">
      <c r="B48" s="362">
        <v>13</v>
      </c>
      <c r="C48" s="132">
        <f t="shared" si="2"/>
        <v>37</v>
      </c>
      <c r="D48" s="394" t="s">
        <v>440</v>
      </c>
      <c r="E48" s="394"/>
      <c r="F48" s="415"/>
      <c r="G48" s="416"/>
      <c r="H48" s="415"/>
      <c r="I48" s="420"/>
      <c r="J48" s="420"/>
      <c r="K48" s="349" t="str">
        <f t="shared" si="3"/>
        <v/>
      </c>
      <c r="L48" s="290"/>
      <c r="M48" s="400"/>
      <c r="N48" s="289"/>
      <c r="O48" s="289"/>
      <c r="P48" s="289"/>
      <c r="Q48" s="350">
        <f t="shared" si="4"/>
        <v>0</v>
      </c>
      <c r="R48" s="408" t="str">
        <f t="shared" si="5"/>
        <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15">
      <c r="B49" s="362">
        <v>14</v>
      </c>
      <c r="C49" s="132">
        <f t="shared" si="2"/>
        <v>37</v>
      </c>
      <c r="D49" s="394" t="s">
        <v>441</v>
      </c>
      <c r="E49" s="394"/>
      <c r="F49" s="415" t="s">
        <v>143</v>
      </c>
      <c r="G49" s="416" t="s">
        <v>136</v>
      </c>
      <c r="H49" s="415"/>
      <c r="I49" s="420">
        <v>1</v>
      </c>
      <c r="J49" s="420">
        <v>0.193</v>
      </c>
      <c r="K49" s="349">
        <f t="shared" si="3"/>
        <v>0.193</v>
      </c>
      <c r="L49" s="290">
        <v>2772644.5</v>
      </c>
      <c r="M49" s="400"/>
      <c r="N49" s="289"/>
      <c r="O49" s="289"/>
      <c r="P49" s="289"/>
      <c r="Q49" s="350">
        <f t="shared" si="4"/>
        <v>2772644.5</v>
      </c>
      <c r="R49" s="408">
        <f t="shared" si="5"/>
        <v>1</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15">
      <c r="B50" s="362">
        <v>15</v>
      </c>
      <c r="C50" s="132">
        <f t="shared" si="2"/>
        <v>37</v>
      </c>
      <c r="D50" s="394" t="s">
        <v>442</v>
      </c>
      <c r="E50" s="394"/>
      <c r="F50" s="415"/>
      <c r="G50" s="416"/>
      <c r="H50" s="415"/>
      <c r="I50" s="420"/>
      <c r="J50" s="420"/>
      <c r="K50" s="349" t="str">
        <f t="shared" si="3"/>
        <v/>
      </c>
      <c r="L50" s="290"/>
      <c r="M50" s="400"/>
      <c r="N50" s="289"/>
      <c r="O50" s="289"/>
      <c r="P50" s="289"/>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30.75">
      <c r="B51" s="362">
        <v>16</v>
      </c>
      <c r="C51" s="132">
        <f t="shared" si="2"/>
        <v>37</v>
      </c>
      <c r="D51" s="394" t="s">
        <v>443</v>
      </c>
      <c r="E51" s="394" t="s">
        <v>444</v>
      </c>
      <c r="F51" s="415" t="s">
        <v>143</v>
      </c>
      <c r="G51" s="416" t="s">
        <v>136</v>
      </c>
      <c r="H51" s="415"/>
      <c r="I51" s="420">
        <v>1</v>
      </c>
      <c r="J51" s="420">
        <v>0.738</v>
      </c>
      <c r="K51" s="349">
        <f t="shared" si="3"/>
        <v>0.738</v>
      </c>
      <c r="L51" s="290">
        <v>389700.25</v>
      </c>
      <c r="M51" s="400"/>
      <c r="N51" s="289"/>
      <c r="O51" s="289"/>
      <c r="P51" s="289"/>
      <c r="Q51" s="350">
        <f t="shared" si="4"/>
        <v>389700.25</v>
      </c>
      <c r="R51" s="408">
        <f t="shared" si="5"/>
        <v>1</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30.75">
      <c r="B52" s="362">
        <v>17</v>
      </c>
      <c r="C52" s="132">
        <f t="shared" si="2"/>
        <v>37</v>
      </c>
      <c r="D52" s="394" t="s">
        <v>445</v>
      </c>
      <c r="E52" s="394"/>
      <c r="F52" s="415"/>
      <c r="G52" s="416"/>
      <c r="H52" s="415"/>
      <c r="I52" s="420"/>
      <c r="J52" s="420"/>
      <c r="K52" s="349" t="str">
        <f t="shared" si="3"/>
        <v/>
      </c>
      <c r="L52" s="290"/>
      <c r="M52" s="400"/>
      <c r="N52" s="289"/>
      <c r="O52" s="289"/>
      <c r="P52" s="289"/>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30.75">
      <c r="B53" s="362">
        <v>18</v>
      </c>
      <c r="C53" s="132">
        <f t="shared" si="2"/>
        <v>37</v>
      </c>
      <c r="D53" s="394" t="s">
        <v>446</v>
      </c>
      <c r="E53" s="394"/>
      <c r="F53" s="415" t="s">
        <v>143</v>
      </c>
      <c r="G53" s="416" t="s">
        <v>136</v>
      </c>
      <c r="H53" s="415"/>
      <c r="I53" s="420">
        <v>1</v>
      </c>
      <c r="J53" s="420">
        <v>0.381</v>
      </c>
      <c r="K53" s="349">
        <f t="shared" si="3"/>
        <v>0.381</v>
      </c>
      <c r="L53" s="290">
        <v>439723.82</v>
      </c>
      <c r="M53" s="400"/>
      <c r="N53" s="289"/>
      <c r="O53" s="289"/>
      <c r="P53" s="289"/>
      <c r="Q53" s="350">
        <f t="shared" si="4"/>
        <v>439723.82</v>
      </c>
      <c r="R53" s="408">
        <f t="shared" si="5"/>
        <v>1</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15">
      <c r="B54" s="362">
        <v>19</v>
      </c>
      <c r="C54" s="132">
        <f t="shared" si="2"/>
        <v>37</v>
      </c>
      <c r="D54" s="394" t="s">
        <v>447</v>
      </c>
      <c r="E54" s="394"/>
      <c r="F54" s="415"/>
      <c r="G54" s="416"/>
      <c r="H54" s="415"/>
      <c r="I54" s="420"/>
      <c r="J54" s="420"/>
      <c r="K54" s="349" t="str">
        <f t="shared" si="3"/>
        <v/>
      </c>
      <c r="L54" s="290"/>
      <c r="M54" s="400"/>
      <c r="N54" s="289"/>
      <c r="O54" s="289"/>
      <c r="P54" s="289"/>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15">
      <c r="B55" s="362">
        <v>20</v>
      </c>
      <c r="C55" s="132">
        <f t="shared" si="2"/>
        <v>37</v>
      </c>
      <c r="D55" s="394" t="s">
        <v>448</v>
      </c>
      <c r="E55" s="394"/>
      <c r="F55" s="415" t="s">
        <v>143</v>
      </c>
      <c r="G55" s="416" t="s">
        <v>136</v>
      </c>
      <c r="H55" s="415"/>
      <c r="I55" s="420">
        <v>1</v>
      </c>
      <c r="J55" s="420">
        <v>1</v>
      </c>
      <c r="K55" s="349">
        <f t="shared" si="3"/>
        <v>1</v>
      </c>
      <c r="L55" s="290">
        <v>1108564.93</v>
      </c>
      <c r="M55" s="400"/>
      <c r="N55" s="289"/>
      <c r="O55" s="289"/>
      <c r="P55" s="289"/>
      <c r="Q55" s="350">
        <f t="shared" si="4"/>
        <v>1108564.93</v>
      </c>
      <c r="R55" s="408">
        <f t="shared" si="5"/>
        <v>1</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30.75">
      <c r="B56" s="362">
        <v>21</v>
      </c>
      <c r="C56" s="132">
        <f t="shared" si="2"/>
        <v>37</v>
      </c>
      <c r="D56" s="394" t="s">
        <v>449</v>
      </c>
      <c r="E56" s="394"/>
      <c r="F56" s="415"/>
      <c r="G56" s="416"/>
      <c r="H56" s="415"/>
      <c r="I56" s="420"/>
      <c r="J56" s="420"/>
      <c r="K56" s="349" t="str">
        <f t="shared" si="3"/>
        <v/>
      </c>
      <c r="L56" s="290"/>
      <c r="M56" s="400"/>
      <c r="N56" s="289"/>
      <c r="O56" s="289"/>
      <c r="P56" s="289"/>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15">
      <c r="B57" s="362">
        <v>22</v>
      </c>
      <c r="C57" s="132">
        <f t="shared" si="2"/>
        <v>37</v>
      </c>
      <c r="D57" s="394" t="s">
        <v>450</v>
      </c>
      <c r="E57" s="394"/>
      <c r="F57" s="415" t="s">
        <v>143</v>
      </c>
      <c r="G57" s="416" t="s">
        <v>137</v>
      </c>
      <c r="H57" s="415"/>
      <c r="I57" s="420">
        <v>1</v>
      </c>
      <c r="J57" s="420">
        <v>0.506</v>
      </c>
      <c r="K57" s="349">
        <f t="shared" si="3"/>
        <v>0.506</v>
      </c>
      <c r="L57" s="290">
        <v>944539.386920305</v>
      </c>
      <c r="M57" s="400">
        <v>617372.6216482086</v>
      </c>
      <c r="N57" s="289"/>
      <c r="O57" s="289"/>
      <c r="P57" s="289">
        <v>6087.001431486498</v>
      </c>
      <c r="Q57" s="350">
        <f t="shared" si="4"/>
        <v>1567999.0100000002</v>
      </c>
      <c r="R57" s="408">
        <f t="shared" si="5"/>
        <v>1</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30.75">
      <c r="B58" s="362">
        <v>23</v>
      </c>
      <c r="C58" s="132">
        <f t="shared" si="2"/>
        <v>37</v>
      </c>
      <c r="D58" s="394" t="s">
        <v>451</v>
      </c>
      <c r="E58" s="394"/>
      <c r="F58" s="415"/>
      <c r="G58" s="416"/>
      <c r="H58" s="415"/>
      <c r="I58" s="420"/>
      <c r="J58" s="420"/>
      <c r="K58" s="349" t="str">
        <f t="shared" si="3"/>
        <v/>
      </c>
      <c r="L58" s="290"/>
      <c r="M58" s="400"/>
      <c r="N58" s="289"/>
      <c r="O58" s="289"/>
      <c r="P58" s="289"/>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15">
      <c r="B59" s="362">
        <v>24</v>
      </c>
      <c r="C59" s="132">
        <f t="shared" si="2"/>
        <v>37</v>
      </c>
      <c r="D59" s="394" t="s">
        <v>452</v>
      </c>
      <c r="E59" s="394"/>
      <c r="F59" s="415" t="s">
        <v>143</v>
      </c>
      <c r="G59" s="416" t="s">
        <v>136</v>
      </c>
      <c r="H59" s="415"/>
      <c r="I59" s="420">
        <v>1</v>
      </c>
      <c r="J59" s="420">
        <v>0.283</v>
      </c>
      <c r="K59" s="349">
        <f t="shared" si="3"/>
        <v>0.283</v>
      </c>
      <c r="L59" s="290">
        <v>1689304.2</v>
      </c>
      <c r="M59" s="400"/>
      <c r="N59" s="289"/>
      <c r="O59" s="289"/>
      <c r="P59" s="289"/>
      <c r="Q59" s="350">
        <f t="shared" si="4"/>
        <v>1689304.2</v>
      </c>
      <c r="R59" s="408">
        <f t="shared" si="5"/>
        <v>1</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30.75">
      <c r="B60" s="362">
        <v>25</v>
      </c>
      <c r="C60" s="132">
        <f t="shared" si="2"/>
        <v>37</v>
      </c>
      <c r="D60" s="394" t="s">
        <v>453</v>
      </c>
      <c r="E60" s="394"/>
      <c r="F60" s="415"/>
      <c r="G60" s="416"/>
      <c r="H60" s="415"/>
      <c r="I60" s="420"/>
      <c r="J60" s="420"/>
      <c r="K60" s="349" t="str">
        <f t="shared" si="3"/>
        <v/>
      </c>
      <c r="L60" s="290"/>
      <c r="M60" s="400"/>
      <c r="N60" s="289"/>
      <c r="O60" s="289"/>
      <c r="P60" s="289"/>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30.75">
      <c r="B61" s="362">
        <v>26</v>
      </c>
      <c r="C61" s="132">
        <f t="shared" si="2"/>
        <v>37</v>
      </c>
      <c r="D61" s="394" t="s">
        <v>454</v>
      </c>
      <c r="E61" s="394"/>
      <c r="F61" s="415" t="s">
        <v>143</v>
      </c>
      <c r="G61" s="416" t="s">
        <v>136</v>
      </c>
      <c r="H61" s="415"/>
      <c r="I61" s="420">
        <v>1</v>
      </c>
      <c r="J61" s="420"/>
      <c r="K61" s="349">
        <f t="shared" si="3"/>
        <v>0</v>
      </c>
      <c r="L61" s="290">
        <v>560668.84</v>
      </c>
      <c r="M61" s="400"/>
      <c r="N61" s="289"/>
      <c r="O61" s="289"/>
      <c r="P61" s="289"/>
      <c r="Q61" s="350">
        <f t="shared" si="4"/>
        <v>560668.84</v>
      </c>
      <c r="R61" s="408">
        <f t="shared" si="5"/>
        <v>1</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30.75">
      <c r="B62" s="362">
        <v>27</v>
      </c>
      <c r="C62" s="132">
        <f t="shared" si="2"/>
        <v>37</v>
      </c>
      <c r="D62" s="394" t="s">
        <v>455</v>
      </c>
      <c r="E62" s="394"/>
      <c r="F62" s="415"/>
      <c r="G62" s="416"/>
      <c r="H62" s="415"/>
      <c r="I62" s="420"/>
      <c r="J62" s="420"/>
      <c r="K62" s="349" t="str">
        <f t="shared" si="3"/>
        <v/>
      </c>
      <c r="L62" s="290"/>
      <c r="M62" s="400"/>
      <c r="N62" s="289"/>
      <c r="O62" s="289"/>
      <c r="P62" s="289"/>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15">
      <c r="B63" s="362">
        <v>28</v>
      </c>
      <c r="C63" s="132">
        <f t="shared" si="2"/>
        <v>37</v>
      </c>
      <c r="D63" s="394" t="s">
        <v>456</v>
      </c>
      <c r="E63" s="394"/>
      <c r="F63" s="415" t="s">
        <v>143</v>
      </c>
      <c r="G63" s="416" t="s">
        <v>136</v>
      </c>
      <c r="H63" s="415"/>
      <c r="I63" s="420">
        <v>1</v>
      </c>
      <c r="J63" s="420"/>
      <c r="K63" s="349">
        <f t="shared" si="3"/>
        <v>0</v>
      </c>
      <c r="L63" s="290">
        <v>565724.28</v>
      </c>
      <c r="M63" s="400"/>
      <c r="N63" s="289"/>
      <c r="O63" s="289"/>
      <c r="P63" s="289"/>
      <c r="Q63" s="350">
        <f t="shared" si="4"/>
        <v>565724.28</v>
      </c>
      <c r="R63" s="408">
        <f t="shared" si="5"/>
        <v>1</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30.75">
      <c r="B64" s="362">
        <v>29</v>
      </c>
      <c r="C64" s="132">
        <f t="shared" si="2"/>
        <v>37</v>
      </c>
      <c r="D64" s="394" t="s">
        <v>457</v>
      </c>
      <c r="E64" s="394"/>
      <c r="F64" s="415"/>
      <c r="G64" s="416"/>
      <c r="H64" s="415"/>
      <c r="I64" s="420"/>
      <c r="J64" s="420"/>
      <c r="K64" s="349" t="str">
        <f t="shared" si="3"/>
        <v/>
      </c>
      <c r="L64" s="290"/>
      <c r="M64" s="400"/>
      <c r="N64" s="289"/>
      <c r="O64" s="289"/>
      <c r="P64" s="289"/>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30.75">
      <c r="B65" s="362">
        <v>30</v>
      </c>
      <c r="C65" s="132">
        <f t="shared" si="2"/>
        <v>37</v>
      </c>
      <c r="D65" s="394" t="s">
        <v>458</v>
      </c>
      <c r="E65" s="394"/>
      <c r="F65" s="415" t="s">
        <v>143</v>
      </c>
      <c r="G65" s="416" t="s">
        <v>137</v>
      </c>
      <c r="H65" s="415"/>
      <c r="I65" s="420">
        <v>1</v>
      </c>
      <c r="J65" s="420"/>
      <c r="K65" s="349">
        <f t="shared" si="3"/>
        <v>0</v>
      </c>
      <c r="L65" s="290">
        <v>1089189.94</v>
      </c>
      <c r="M65" s="400"/>
      <c r="N65" s="289"/>
      <c r="O65" s="289"/>
      <c r="P65" s="289"/>
      <c r="Q65" s="350">
        <f t="shared" si="4"/>
        <v>1089189.94</v>
      </c>
      <c r="R65" s="408">
        <f t="shared" si="5"/>
        <v>1</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15">
      <c r="B66" s="362">
        <v>31</v>
      </c>
      <c r="C66" s="132">
        <f t="shared" si="2"/>
        <v>37</v>
      </c>
      <c r="D66" s="394" t="s">
        <v>459</v>
      </c>
      <c r="E66" s="394"/>
      <c r="F66" s="415"/>
      <c r="G66" s="416"/>
      <c r="H66" s="415"/>
      <c r="I66" s="420"/>
      <c r="J66" s="420"/>
      <c r="K66" s="349" t="str">
        <f t="shared" si="3"/>
        <v/>
      </c>
      <c r="L66" s="290"/>
      <c r="M66" s="400"/>
      <c r="N66" s="289"/>
      <c r="O66" s="289"/>
      <c r="P66" s="289"/>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15">
      <c r="B67" s="362">
        <v>32</v>
      </c>
      <c r="C67" s="132">
        <f t="shared" si="2"/>
        <v>37</v>
      </c>
      <c r="D67" s="394" t="s">
        <v>460</v>
      </c>
      <c r="E67" s="394"/>
      <c r="F67" s="415" t="s">
        <v>143</v>
      </c>
      <c r="G67" s="416" t="s">
        <v>481</v>
      </c>
      <c r="H67" s="415"/>
      <c r="I67" s="420">
        <v>1</v>
      </c>
      <c r="J67" s="420">
        <v>0.3683</v>
      </c>
      <c r="K67" s="349">
        <f t="shared" si="3"/>
        <v>0.3683</v>
      </c>
      <c r="L67" s="290">
        <v>581542.29</v>
      </c>
      <c r="M67" s="400"/>
      <c r="N67" s="289"/>
      <c r="O67" s="289"/>
      <c r="P67" s="289"/>
      <c r="Q67" s="350">
        <f t="shared" si="4"/>
        <v>581542.29</v>
      </c>
      <c r="R67" s="408">
        <f t="shared" si="5"/>
        <v>1</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30.75">
      <c r="B68" s="362">
        <v>33</v>
      </c>
      <c r="C68" s="132">
        <f aca="true" t="shared" si="7" ref="C68:C99">IF(AND(NOT(COUNTA(D68:J68)),(NOT(COUNTA(L68:P68)))),"",VLOOKUP($D$7,Info_County_Code,2,FALSE))</f>
        <v>37</v>
      </c>
      <c r="D68" s="394" t="s">
        <v>461</v>
      </c>
      <c r="E68" s="394" t="s">
        <v>462</v>
      </c>
      <c r="F68" s="415" t="s">
        <v>143</v>
      </c>
      <c r="G68" s="416" t="s">
        <v>136</v>
      </c>
      <c r="H68" s="415"/>
      <c r="I68" s="420">
        <v>1</v>
      </c>
      <c r="J68" s="420">
        <v>0.3683</v>
      </c>
      <c r="K68" s="349">
        <f t="shared" si="3"/>
        <v>0.3683</v>
      </c>
      <c r="L68" s="290">
        <v>732275.82</v>
      </c>
      <c r="M68" s="400"/>
      <c r="N68" s="289"/>
      <c r="O68" s="289"/>
      <c r="P68" s="289"/>
      <c r="Q68" s="350">
        <f t="shared" si="4"/>
        <v>732275.82</v>
      </c>
      <c r="R68" s="408">
        <f t="shared" si="5"/>
        <v>1</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15">
      <c r="B69" s="362">
        <v>34</v>
      </c>
      <c r="C69" s="132">
        <f t="shared" si="7"/>
        <v>37</v>
      </c>
      <c r="D69" s="394" t="s">
        <v>463</v>
      </c>
      <c r="E69" s="394"/>
      <c r="F69" s="415" t="s">
        <v>143</v>
      </c>
      <c r="G69" s="416" t="s">
        <v>136</v>
      </c>
      <c r="H69" s="415"/>
      <c r="I69" s="420">
        <v>1</v>
      </c>
      <c r="J69" s="420">
        <v>0.3683</v>
      </c>
      <c r="K69" s="349">
        <f t="shared" si="3"/>
        <v>0.3683</v>
      </c>
      <c r="L69" s="290">
        <v>199534.54</v>
      </c>
      <c r="M69" s="400"/>
      <c r="N69" s="289"/>
      <c r="O69" s="289"/>
      <c r="P69" s="289"/>
      <c r="Q69" s="350">
        <f t="shared" si="4"/>
        <v>199534.54</v>
      </c>
      <c r="R69" s="408">
        <f t="shared" si="5"/>
        <v>1</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15">
      <c r="B70" s="362">
        <v>35</v>
      </c>
      <c r="C70" s="132">
        <f t="shared" si="7"/>
        <v>37</v>
      </c>
      <c r="D70" s="394" t="s">
        <v>464</v>
      </c>
      <c r="E70" s="394"/>
      <c r="F70" s="415" t="s">
        <v>143</v>
      </c>
      <c r="G70" s="416" t="s">
        <v>145</v>
      </c>
      <c r="H70" s="415"/>
      <c r="I70" s="420">
        <v>1</v>
      </c>
      <c r="J70" s="420">
        <v>0.3683</v>
      </c>
      <c r="K70" s="349">
        <f t="shared" si="3"/>
        <v>0.3683</v>
      </c>
      <c r="L70" s="290">
        <v>344495.42</v>
      </c>
      <c r="M70" s="400"/>
      <c r="N70" s="289"/>
      <c r="O70" s="289"/>
      <c r="P70" s="289"/>
      <c r="Q70" s="350">
        <f t="shared" si="4"/>
        <v>344495.42</v>
      </c>
      <c r="R70" s="408">
        <f t="shared" si="5"/>
        <v>1</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15">
      <c r="B71" s="362">
        <v>36</v>
      </c>
      <c r="C71" s="132">
        <f t="shared" si="7"/>
        <v>37</v>
      </c>
      <c r="D71" s="394" t="s">
        <v>465</v>
      </c>
      <c r="E71" s="394"/>
      <c r="F71" s="415" t="s">
        <v>143</v>
      </c>
      <c r="G71" s="416" t="s">
        <v>145</v>
      </c>
      <c r="H71" s="415"/>
      <c r="I71" s="420">
        <v>1</v>
      </c>
      <c r="J71" s="420">
        <v>0.3683</v>
      </c>
      <c r="K71" s="349">
        <f t="shared" si="3"/>
        <v>0.3683</v>
      </c>
      <c r="L71" s="290">
        <v>503900</v>
      </c>
      <c r="M71" s="400"/>
      <c r="N71" s="289"/>
      <c r="O71" s="289"/>
      <c r="P71" s="289"/>
      <c r="Q71" s="350">
        <f t="shared" si="4"/>
        <v>503900</v>
      </c>
      <c r="R71" s="408">
        <f t="shared" si="5"/>
        <v>1</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30.75">
      <c r="B72" s="362">
        <v>37</v>
      </c>
      <c r="C72" s="132">
        <f t="shared" si="7"/>
        <v>37</v>
      </c>
      <c r="D72" s="394" t="s">
        <v>466</v>
      </c>
      <c r="E72" s="394"/>
      <c r="F72" s="415" t="s">
        <v>143</v>
      </c>
      <c r="G72" s="416" t="s">
        <v>147</v>
      </c>
      <c r="H72" s="415"/>
      <c r="I72" s="420">
        <v>1</v>
      </c>
      <c r="J72" s="420">
        <v>0.3683</v>
      </c>
      <c r="K72" s="349">
        <f t="shared" si="3"/>
        <v>0.3683</v>
      </c>
      <c r="L72" s="290">
        <v>2291770.49</v>
      </c>
      <c r="M72" s="400"/>
      <c r="N72" s="289"/>
      <c r="O72" s="289"/>
      <c r="P72" s="289"/>
      <c r="Q72" s="350">
        <f t="shared" si="4"/>
        <v>2291770.49</v>
      </c>
      <c r="R72" s="408">
        <f t="shared" si="5"/>
        <v>1</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15">
      <c r="B73" s="362">
        <v>38</v>
      </c>
      <c r="C73" s="132">
        <f t="shared" si="7"/>
        <v>37</v>
      </c>
      <c r="D73" s="394" t="s">
        <v>467</v>
      </c>
      <c r="E73" s="394"/>
      <c r="F73" s="415" t="s">
        <v>143</v>
      </c>
      <c r="G73" s="416" t="s">
        <v>147</v>
      </c>
      <c r="H73" s="415"/>
      <c r="I73" s="420">
        <v>1</v>
      </c>
      <c r="J73" s="420">
        <v>0.3683</v>
      </c>
      <c r="K73" s="349">
        <f t="shared" si="3"/>
        <v>0.3683</v>
      </c>
      <c r="L73" s="290">
        <v>472324.85</v>
      </c>
      <c r="M73" s="400"/>
      <c r="N73" s="289"/>
      <c r="O73" s="289"/>
      <c r="P73" s="289"/>
      <c r="Q73" s="350">
        <f t="shared" si="4"/>
        <v>472324.85</v>
      </c>
      <c r="R73" s="408">
        <f t="shared" si="5"/>
        <v>1</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30.75">
      <c r="B74" s="362">
        <v>39</v>
      </c>
      <c r="C74" s="132">
        <f t="shared" si="7"/>
        <v>37</v>
      </c>
      <c r="D74" s="394" t="s">
        <v>468</v>
      </c>
      <c r="E74" s="394"/>
      <c r="F74" s="415" t="s">
        <v>143</v>
      </c>
      <c r="G74" s="416" t="s">
        <v>136</v>
      </c>
      <c r="H74" s="415"/>
      <c r="I74" s="420">
        <v>1</v>
      </c>
      <c r="J74" s="420">
        <v>0.3683</v>
      </c>
      <c r="K74" s="349">
        <f t="shared" si="3"/>
        <v>0.3683</v>
      </c>
      <c r="L74" s="290">
        <v>170856.41</v>
      </c>
      <c r="M74" s="400"/>
      <c r="N74" s="289"/>
      <c r="O74" s="289"/>
      <c r="P74" s="289"/>
      <c r="Q74" s="350">
        <f t="shared" si="4"/>
        <v>170856.41</v>
      </c>
      <c r="R74" s="408">
        <f t="shared" si="5"/>
        <v>1</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30.75">
      <c r="B75" s="362">
        <v>40</v>
      </c>
      <c r="C75" s="132">
        <f t="shared" si="7"/>
        <v>37</v>
      </c>
      <c r="D75" s="394" t="s">
        <v>469</v>
      </c>
      <c r="E75" s="394"/>
      <c r="F75" s="415"/>
      <c r="G75" s="416"/>
      <c r="H75" s="415"/>
      <c r="I75" s="420"/>
      <c r="J75" s="420"/>
      <c r="K75" s="349" t="str">
        <f t="shared" si="3"/>
        <v/>
      </c>
      <c r="L75" s="290"/>
      <c r="M75" s="400"/>
      <c r="N75" s="289"/>
      <c r="O75" s="289"/>
      <c r="P75" s="289"/>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30.75">
      <c r="B76" s="362">
        <v>41</v>
      </c>
      <c r="C76" s="132">
        <f t="shared" si="7"/>
        <v>37</v>
      </c>
      <c r="D76" s="394" t="s">
        <v>398</v>
      </c>
      <c r="E76" s="394" t="s">
        <v>470</v>
      </c>
      <c r="F76" s="415" t="s">
        <v>143</v>
      </c>
      <c r="G76" s="416" t="s">
        <v>136</v>
      </c>
      <c r="H76" s="415"/>
      <c r="I76" s="420">
        <v>1</v>
      </c>
      <c r="J76" s="420">
        <v>0.31</v>
      </c>
      <c r="K76" s="349">
        <f t="shared" si="3"/>
        <v>0.31</v>
      </c>
      <c r="L76" s="290">
        <v>1226439.84</v>
      </c>
      <c r="M76" s="400"/>
      <c r="N76" s="289"/>
      <c r="O76" s="289"/>
      <c r="P76" s="289"/>
      <c r="Q76" s="350">
        <f t="shared" si="4"/>
        <v>1226439.84</v>
      </c>
      <c r="R76" s="408">
        <f t="shared" si="5"/>
        <v>1</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15">
      <c r="B77" s="362">
        <v>42</v>
      </c>
      <c r="C77" s="132">
        <f t="shared" si="7"/>
        <v>37</v>
      </c>
      <c r="D77" s="394" t="s">
        <v>471</v>
      </c>
      <c r="E77" s="394"/>
      <c r="F77" s="415"/>
      <c r="G77" s="416"/>
      <c r="H77" s="415"/>
      <c r="I77" s="420"/>
      <c r="J77" s="420"/>
      <c r="K77" s="349" t="str">
        <f t="shared" si="3"/>
        <v/>
      </c>
      <c r="L77" s="290"/>
      <c r="M77" s="400"/>
      <c r="N77" s="289"/>
      <c r="O77" s="289"/>
      <c r="P77" s="289"/>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15">
      <c r="B78" s="362">
        <v>43</v>
      </c>
      <c r="C78" s="132">
        <f t="shared" si="7"/>
        <v>37</v>
      </c>
      <c r="D78" s="394" t="s">
        <v>472</v>
      </c>
      <c r="E78" s="394"/>
      <c r="F78" s="415" t="s">
        <v>143</v>
      </c>
      <c r="G78" s="416" t="s">
        <v>145</v>
      </c>
      <c r="H78" s="415"/>
      <c r="I78" s="420">
        <v>1</v>
      </c>
      <c r="J78" s="420"/>
      <c r="K78" s="349">
        <f t="shared" si="3"/>
        <v>0</v>
      </c>
      <c r="L78" s="290">
        <v>288267.18</v>
      </c>
      <c r="M78" s="400"/>
      <c r="N78" s="289"/>
      <c r="O78" s="289"/>
      <c r="P78" s="289"/>
      <c r="Q78" s="350">
        <f t="shared" si="4"/>
        <v>288267.18</v>
      </c>
      <c r="R78" s="408">
        <f t="shared" si="5"/>
        <v>1</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30.75">
      <c r="B79" s="362">
        <v>44</v>
      </c>
      <c r="C79" s="132">
        <f t="shared" si="7"/>
        <v>37</v>
      </c>
      <c r="D79" s="394" t="s">
        <v>473</v>
      </c>
      <c r="E79" s="394"/>
      <c r="F79" s="415"/>
      <c r="G79" s="416"/>
      <c r="H79" s="415"/>
      <c r="I79" s="420"/>
      <c r="J79" s="420"/>
      <c r="K79" s="349" t="str">
        <f t="shared" si="3"/>
        <v/>
      </c>
      <c r="L79" s="290"/>
      <c r="M79" s="400"/>
      <c r="N79" s="289"/>
      <c r="O79" s="289"/>
      <c r="P79" s="289"/>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15">
      <c r="B80" s="362">
        <v>45</v>
      </c>
      <c r="C80" s="132">
        <f t="shared" si="7"/>
        <v>37</v>
      </c>
      <c r="D80" s="394" t="s">
        <v>474</v>
      </c>
      <c r="E80" s="394"/>
      <c r="F80" s="415" t="s">
        <v>143</v>
      </c>
      <c r="G80" s="416" t="s">
        <v>136</v>
      </c>
      <c r="H80" s="415"/>
      <c r="I80" s="420">
        <v>1</v>
      </c>
      <c r="J80" s="420">
        <v>1</v>
      </c>
      <c r="K80" s="349">
        <f t="shared" si="3"/>
        <v>1</v>
      </c>
      <c r="L80" s="290">
        <v>5780620.68</v>
      </c>
      <c r="M80" s="400"/>
      <c r="N80" s="289"/>
      <c r="O80" s="289"/>
      <c r="P80" s="289"/>
      <c r="Q80" s="350">
        <f t="shared" si="4"/>
        <v>5780620.68</v>
      </c>
      <c r="R80" s="408">
        <f t="shared" si="5"/>
        <v>1</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30.75">
      <c r="B81" s="362">
        <v>46</v>
      </c>
      <c r="C81" s="132">
        <f t="shared" si="7"/>
        <v>37</v>
      </c>
      <c r="D81" s="394" t="s">
        <v>475</v>
      </c>
      <c r="E81" s="394"/>
      <c r="F81" s="415"/>
      <c r="G81" s="416"/>
      <c r="H81" s="415"/>
      <c r="I81" s="420"/>
      <c r="J81" s="420"/>
      <c r="K81" s="349" t="str">
        <f t="shared" si="3"/>
        <v/>
      </c>
      <c r="L81" s="290"/>
      <c r="M81" s="400"/>
      <c r="N81" s="289"/>
      <c r="O81" s="289"/>
      <c r="P81" s="289"/>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30.75">
      <c r="B82" s="362">
        <v>47</v>
      </c>
      <c r="C82" s="132">
        <f t="shared" si="7"/>
        <v>37</v>
      </c>
      <c r="D82" s="394" t="s">
        <v>476</v>
      </c>
      <c r="E82" s="394"/>
      <c r="F82" s="415" t="s">
        <v>143</v>
      </c>
      <c r="G82" s="416" t="s">
        <v>136</v>
      </c>
      <c r="H82" s="415"/>
      <c r="I82" s="420">
        <v>1</v>
      </c>
      <c r="J82" s="420">
        <v>1</v>
      </c>
      <c r="K82" s="349">
        <f t="shared" si="3"/>
        <v>1</v>
      </c>
      <c r="L82" s="290">
        <v>1798326</v>
      </c>
      <c r="M82" s="400"/>
      <c r="N82" s="289"/>
      <c r="O82" s="289"/>
      <c r="P82" s="289"/>
      <c r="Q82" s="350">
        <f t="shared" si="4"/>
        <v>1798326</v>
      </c>
      <c r="R82" s="408">
        <f t="shared" si="5"/>
        <v>1</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30.75">
      <c r="B83" s="362">
        <v>48</v>
      </c>
      <c r="C83" s="132">
        <f t="shared" si="7"/>
        <v>37</v>
      </c>
      <c r="D83" s="394" t="s">
        <v>477</v>
      </c>
      <c r="E83" s="394"/>
      <c r="F83" s="415"/>
      <c r="G83" s="416"/>
      <c r="H83" s="415"/>
      <c r="I83" s="420"/>
      <c r="J83" s="420"/>
      <c r="K83" s="349" t="str">
        <f t="shared" si="3"/>
        <v/>
      </c>
      <c r="L83" s="290"/>
      <c r="M83" s="400"/>
      <c r="N83" s="289"/>
      <c r="O83" s="289"/>
      <c r="P83" s="289"/>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15">
      <c r="B84" s="362">
        <v>49</v>
      </c>
      <c r="C84" s="132">
        <f t="shared" si="7"/>
        <v>37</v>
      </c>
      <c r="D84" s="394" t="s">
        <v>478</v>
      </c>
      <c r="E84" s="394"/>
      <c r="F84" s="415" t="s">
        <v>143</v>
      </c>
      <c r="G84" s="416" t="s">
        <v>132</v>
      </c>
      <c r="H84" s="415"/>
      <c r="I84" s="420">
        <v>1</v>
      </c>
      <c r="J84" s="420">
        <v>0.062</v>
      </c>
      <c r="K84" s="349">
        <f t="shared" si="3"/>
        <v>0.062</v>
      </c>
      <c r="L84" s="290">
        <v>1006299.72</v>
      </c>
      <c r="M84" s="400"/>
      <c r="N84" s="289"/>
      <c r="O84" s="289"/>
      <c r="P84" s="289"/>
      <c r="Q84" s="350">
        <f t="shared" si="4"/>
        <v>1006299.72</v>
      </c>
      <c r="R84" s="408">
        <f t="shared" si="5"/>
        <v>1</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30.75">
      <c r="B85" s="362">
        <v>50</v>
      </c>
      <c r="C85" s="132">
        <f t="shared" si="7"/>
        <v>37</v>
      </c>
      <c r="D85" s="394"/>
      <c r="E85" s="394" t="s">
        <v>479</v>
      </c>
      <c r="F85" s="415"/>
      <c r="G85" s="416"/>
      <c r="H85" s="415"/>
      <c r="I85" s="420"/>
      <c r="J85" s="420"/>
      <c r="K85" s="349" t="str">
        <f t="shared" si="3"/>
        <v/>
      </c>
      <c r="L85" s="290"/>
      <c r="M85" s="400"/>
      <c r="N85" s="289"/>
      <c r="O85" s="289"/>
      <c r="P85" s="289"/>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45.75">
      <c r="B86" s="362">
        <v>51</v>
      </c>
      <c r="C86" s="132">
        <f t="shared" si="7"/>
        <v>37</v>
      </c>
      <c r="D86" s="394"/>
      <c r="E86" s="394" t="s">
        <v>480</v>
      </c>
      <c r="F86" s="415"/>
      <c r="G86" s="416"/>
      <c r="H86" s="415"/>
      <c r="I86" s="420"/>
      <c r="J86" s="420"/>
      <c r="K86" s="349" t="str">
        <f t="shared" si="3"/>
        <v/>
      </c>
      <c r="L86" s="290"/>
      <c r="M86" s="400"/>
      <c r="N86" s="289"/>
      <c r="O86" s="289"/>
      <c r="P86" s="289"/>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1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1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1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1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1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1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1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ht="1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ht="1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ht="1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ht="1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ht="1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ht="1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ht="15">
      <c r="B100" s="362">
        <v>65</v>
      </c>
      <c r="C100" s="132" t="str">
        <f aca="true" t="shared" si="8" ref="C100:C131">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ht="15">
      <c r="B101" s="362">
        <v>66</v>
      </c>
      <c r="C101" s="132" t="str">
        <f t="shared" si="8"/>
        <v/>
      </c>
      <c r="D101" s="394"/>
      <c r="E101" s="394"/>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ht="1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ht="1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ht="1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ht="1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ht="1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15">
      <c r="B108" s="362">
        <v>73</v>
      </c>
      <c r="C108" s="132" t="str">
        <f t="shared" si="8"/>
        <v/>
      </c>
      <c r="D108" s="394"/>
      <c r="E108" s="394"/>
      <c r="F108" s="125"/>
      <c r="G108" s="107"/>
      <c r="H108" s="107"/>
      <c r="I108" s="134"/>
      <c r="J108" s="134"/>
      <c r="K108" s="349" t="str">
        <f t="shared" si="9"/>
        <v/>
      </c>
      <c r="L108" s="290"/>
      <c r="M108" s="351"/>
      <c r="N108" s="116"/>
      <c r="O108" s="116"/>
      <c r="P108" s="116"/>
      <c r="Q108" s="350">
        <f aca="true" t="shared" si="13" ref="Q108:Q122">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1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1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1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1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1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1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1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1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1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1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1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1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1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1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1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ht="15">
      <c r="B124" s="362">
        <v>89</v>
      </c>
      <c r="C124" s="132" t="str">
        <f t="shared" si="8"/>
        <v/>
      </c>
      <c r="D124" s="394"/>
      <c r="E124" s="394"/>
      <c r="F124" s="125"/>
      <c r="G124" s="107"/>
      <c r="H124" s="107"/>
      <c r="I124" s="134"/>
      <c r="J124" s="134"/>
      <c r="K124" s="349" t="str">
        <f t="shared" si="9"/>
        <v/>
      </c>
      <c r="L124" s="290"/>
      <c r="M124" s="351"/>
      <c r="N124" s="116"/>
      <c r="O124" s="116"/>
      <c r="P124" s="116"/>
      <c r="Q124" s="350">
        <f aca="true" t="shared" si="14" ref="Q124:Q135">SUM(L124:P124)</f>
        <v>0</v>
      </c>
      <c r="R124" s="408" t="str">
        <f t="shared" si="11"/>
        <v/>
      </c>
      <c r="S124" s="406" t="str">
        <f t="shared" si="12"/>
        <v/>
      </c>
      <c r="AL124" s="108"/>
      <c r="AM124" s="108"/>
      <c r="AN124" s="108"/>
    </row>
    <row r="125" spans="2:40" ht="1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ht="1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ht="1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ht="1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ht="1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ht="1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ht="1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ht="15">
      <c r="B132" s="362">
        <v>97</v>
      </c>
      <c r="C132" s="132" t="str">
        <f aca="true" t="shared" si="15" ref="C132:C13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ht="1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ht="1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ht="1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7" bottom="0.75" header="0.3" footer="0.3"/>
  <pageSetup fitToHeight="0" fitToWidth="0" horizontalDpi="600" verticalDpi="600" orientation="landscape" paperSize="5" scale="35" r:id="rId1"/>
  <headerFooter>
    <oddFooter>&amp;C&amp;"Arial,Regular"&amp;16Page &amp;P of &amp;N</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D7" sqref="D7"/>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5" width="53.8515625" style="110" customWidth="1"/>
    <col min="6"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1"/>
      <c r="C1" s="461"/>
      <c r="D1" s="461"/>
    </row>
    <row r="2" s="320"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4" t="s">
        <v>1</v>
      </c>
      <c r="C7" s="434"/>
      <c r="D7" s="9" t="str">
        <f>IF(ISBLANK('1. Information'!D8),"",'1. Information'!D8)</f>
        <v>San Diego</v>
      </c>
      <c r="F7" s="94" t="s">
        <v>2</v>
      </c>
      <c r="G7" s="109">
        <f>IF(ISBLANK('1. Information'!D7),"",'1. Information'!D7)</f>
        <v>43452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42" t="s">
        <v>30</v>
      </c>
      <c r="H12" s="442"/>
      <c r="I12" s="442"/>
      <c r="J12" s="445"/>
      <c r="K12" s="307"/>
      <c r="L12"/>
      <c r="M12"/>
      <c r="N12"/>
      <c r="O12" s="108"/>
      <c r="P12" s="108"/>
    </row>
    <row r="13" spans="2:16" ht="65.25" customHeight="1">
      <c r="B13" s="108"/>
      <c r="C13" s="463"/>
      <c r="D13" s="463"/>
      <c r="E13" s="463"/>
      <c r="F13" s="30" t="s">
        <v>300</v>
      </c>
      <c r="G13" s="44" t="s">
        <v>5</v>
      </c>
      <c r="H13" s="27" t="s">
        <v>6</v>
      </c>
      <c r="I13" s="27" t="s">
        <v>31</v>
      </c>
      <c r="J13" s="27" t="s">
        <v>15</v>
      </c>
      <c r="K13" s="305" t="s">
        <v>278</v>
      </c>
      <c r="L13"/>
      <c r="M13"/>
      <c r="N13"/>
      <c r="O13" s="108"/>
      <c r="P13" s="108"/>
    </row>
    <row r="14" spans="2:16" ht="15.75">
      <c r="B14" s="101">
        <v>1</v>
      </c>
      <c r="C14" s="449" t="s">
        <v>160</v>
      </c>
      <c r="D14" s="449"/>
      <c r="E14" s="449"/>
      <c r="F14" s="289"/>
      <c r="G14" s="45"/>
      <c r="H14" s="29"/>
      <c r="I14" s="29"/>
      <c r="J14" s="308"/>
      <c r="K14" s="292">
        <f>SUM(F14:J14)</f>
        <v>0</v>
      </c>
      <c r="L14"/>
      <c r="M14"/>
      <c r="N14"/>
      <c r="O14" s="108"/>
      <c r="P14" s="108"/>
    </row>
    <row r="15" spans="2:16" ht="15.75">
      <c r="B15" s="101">
        <v>2</v>
      </c>
      <c r="C15" s="449" t="s">
        <v>161</v>
      </c>
      <c r="D15" s="449"/>
      <c r="E15" s="449"/>
      <c r="F15" s="29">
        <v>1072031.48</v>
      </c>
      <c r="G15" s="410">
        <v>360477.82</v>
      </c>
      <c r="H15" s="411"/>
      <c r="I15" s="411"/>
      <c r="J15" s="412">
        <v>6008.62</v>
      </c>
      <c r="K15" s="292">
        <f>SUM(F15:J15)</f>
        <v>1438517.9200000002</v>
      </c>
      <c r="L15"/>
      <c r="M15"/>
      <c r="N15"/>
      <c r="O15" s="108"/>
      <c r="P15" s="108"/>
    </row>
    <row r="16" spans="2:16" ht="15.75">
      <c r="B16" s="404">
        <v>3</v>
      </c>
      <c r="C16" s="446" t="s">
        <v>314</v>
      </c>
      <c r="D16" s="447"/>
      <c r="E16" s="448"/>
      <c r="F16" s="366"/>
      <c r="G16" s="19"/>
      <c r="H16" s="19"/>
      <c r="I16" s="19"/>
      <c r="J16" s="19"/>
      <c r="K16" s="292">
        <f>SUM(F16:J16)</f>
        <v>0</v>
      </c>
      <c r="L16" s="403"/>
      <c r="M16" s="403"/>
      <c r="N16" s="403"/>
      <c r="O16" s="108"/>
      <c r="P16" s="108"/>
    </row>
    <row r="17" spans="2:16" ht="15.75">
      <c r="B17" s="404">
        <v>4</v>
      </c>
      <c r="C17" s="446" t="s">
        <v>315</v>
      </c>
      <c r="D17" s="447"/>
      <c r="E17" s="448"/>
      <c r="F17" s="409"/>
      <c r="G17" s="19"/>
      <c r="H17" s="19"/>
      <c r="I17" s="19"/>
      <c r="J17" s="19"/>
      <c r="K17" s="292">
        <f>SUM(F17:J17)</f>
        <v>0</v>
      </c>
      <c r="L17" s="403"/>
      <c r="M17" s="403"/>
      <c r="N17" s="403"/>
      <c r="O17" s="108"/>
      <c r="P17" s="108"/>
    </row>
    <row r="18" spans="2:16" ht="15.75">
      <c r="B18" s="101">
        <v>5</v>
      </c>
      <c r="C18" s="449" t="s">
        <v>162</v>
      </c>
      <c r="D18" s="449"/>
      <c r="E18" s="449"/>
      <c r="F18" s="28">
        <f>SUMIF($J$29:$J$132,"Project Administration",K$29:K$132)</f>
        <v>1002.26</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1002.26</v>
      </c>
      <c r="L18"/>
      <c r="M18"/>
      <c r="N18"/>
      <c r="O18" s="108"/>
      <c r="P18" s="108"/>
    </row>
    <row r="19" spans="2:16" ht="15.75">
      <c r="B19" s="101">
        <v>6</v>
      </c>
      <c r="C19" s="449" t="s">
        <v>163</v>
      </c>
      <c r="D19" s="449"/>
      <c r="E19" s="449"/>
      <c r="F19" s="19">
        <f>SUMIF($J$29:$J$132,"Project Evaluation",K$29:K$132)</f>
        <v>215126.27</v>
      </c>
      <c r="G19" s="47">
        <f>SUMIF($J$29:$J$132,"Project Evaluation",L$29:L$132)</f>
        <v>0</v>
      </c>
      <c r="H19" s="19">
        <f>SUMIF($J$29:$J$132,"Project Evaluation",M$29:M$132)</f>
        <v>0</v>
      </c>
      <c r="I19" s="19">
        <f>SUMIF($J$29:$J$132,"Project Evaluation",N$29:N$132)</f>
        <v>0</v>
      </c>
      <c r="J19" s="19">
        <f>SUMIF($J$29:$J$132,"Project Evaluation",O$29:O$132)</f>
        <v>0</v>
      </c>
      <c r="K19" s="292">
        <f t="shared" si="0"/>
        <v>215126.27</v>
      </c>
      <c r="L19"/>
      <c r="M19"/>
      <c r="N19"/>
      <c r="O19" s="108"/>
      <c r="P19" s="108"/>
    </row>
    <row r="20" spans="2:16" ht="15.75">
      <c r="B20" s="101">
        <v>7</v>
      </c>
      <c r="C20" s="449" t="s">
        <v>236</v>
      </c>
      <c r="D20" s="449"/>
      <c r="E20" s="449"/>
      <c r="F20" s="19">
        <f>SUMIF($J$29:$J$132,"Project Direct",K$29:K$132)</f>
        <v>5546513.71</v>
      </c>
      <c r="G20" s="47">
        <f>SUMIF($J$29:$J$132,"Project Direct",L$29:L$132)</f>
        <v>151648.82</v>
      </c>
      <c r="H20" s="19">
        <f>SUMIF($J$29:$J$132,"Project Direct",M$29:M$132)</f>
        <v>0</v>
      </c>
      <c r="I20" s="19">
        <f>SUMIF($J$29:$J$132,"Project Direct",N$29:N$132)</f>
        <v>0</v>
      </c>
      <c r="J20" s="19">
        <f>SUMIF($J$29:$J$132,"Project Direct",O$29:O$132)</f>
        <v>0</v>
      </c>
      <c r="K20" s="292">
        <f t="shared" si="0"/>
        <v>5698162.53</v>
      </c>
      <c r="L20"/>
      <c r="M20"/>
      <c r="N20"/>
      <c r="O20" s="108"/>
      <c r="P20" s="108"/>
    </row>
    <row r="21" spans="2:16" ht="15.75">
      <c r="B21" s="101">
        <v>8</v>
      </c>
      <c r="C21" s="462" t="s">
        <v>164</v>
      </c>
      <c r="D21" s="462"/>
      <c r="E21" s="462"/>
      <c r="F21" s="18">
        <f>SUM(F18:F20)</f>
        <v>5762642.24</v>
      </c>
      <c r="G21" s="48">
        <f>SUM(G18:G20)</f>
        <v>151648.82</v>
      </c>
      <c r="H21" s="18">
        <f>SUM(H18:H20)</f>
        <v>0</v>
      </c>
      <c r="I21" s="18">
        <f>SUM(I18:I20)</f>
        <v>0</v>
      </c>
      <c r="J21" s="18">
        <f aca="true" t="shared" si="1" ref="J21">SUM(J18:J20)</f>
        <v>0</v>
      </c>
      <c r="K21" s="18">
        <f aca="true" t="shared" si="2" ref="K21">SUM(K18:K20)</f>
        <v>5914291.0600000005</v>
      </c>
      <c r="L21"/>
      <c r="M21"/>
      <c r="N21"/>
      <c r="O21" s="108"/>
      <c r="P21" s="108"/>
    </row>
    <row r="22" spans="2:16" ht="30.95" customHeight="1">
      <c r="B22" s="101">
        <v>9</v>
      </c>
      <c r="C22" s="459" t="s">
        <v>316</v>
      </c>
      <c r="D22" s="459"/>
      <c r="E22" s="459"/>
      <c r="F22" s="20">
        <f aca="true" t="shared" si="3" ref="F22:K22">SUM(F14:F15,F17,F18:F20)</f>
        <v>6834673.72</v>
      </c>
      <c r="G22" s="20">
        <f t="shared" si="3"/>
        <v>512126.64</v>
      </c>
      <c r="H22" s="20">
        <f t="shared" si="3"/>
        <v>0</v>
      </c>
      <c r="I22" s="20">
        <f t="shared" si="3"/>
        <v>0</v>
      </c>
      <c r="J22" s="20">
        <f t="shared" si="3"/>
        <v>6008.62</v>
      </c>
      <c r="K22" s="20">
        <f t="shared" si="3"/>
        <v>7352808.98</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60" t="s">
        <v>167</v>
      </c>
      <c r="E27" s="460"/>
      <c r="F27" s="460"/>
      <c r="G27" s="460"/>
      <c r="H27" s="460"/>
      <c r="I27" s="460"/>
      <c r="J27" s="460"/>
      <c r="K27" s="339" t="s">
        <v>28</v>
      </c>
      <c r="L27" s="460" t="s">
        <v>30</v>
      </c>
      <c r="M27" s="460"/>
      <c r="N27" s="460"/>
      <c r="O27" s="460"/>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37</v>
      </c>
      <c r="D29" s="394" t="s">
        <v>482</v>
      </c>
      <c r="E29" s="422"/>
      <c r="F29" s="422">
        <v>42061</v>
      </c>
      <c r="G29" s="422">
        <v>42186</v>
      </c>
      <c r="H29" s="289">
        <v>685500</v>
      </c>
      <c r="I29" s="116"/>
      <c r="J29" s="118" t="s">
        <v>158</v>
      </c>
      <c r="K29" s="423">
        <v>39.27</v>
      </c>
      <c r="L29" s="120"/>
      <c r="M29" s="116"/>
      <c r="N29" s="116"/>
      <c r="O29" s="129"/>
      <c r="P29" s="292">
        <f aca="true" t="shared" si="4" ref="P29:P64">SUM(K29:O29)</f>
        <v>39.27</v>
      </c>
    </row>
    <row r="30" spans="2:16" ht="15">
      <c r="B30" s="123">
        <v>1</v>
      </c>
      <c r="C30" s="139">
        <f aca="true" t="shared" si="5" ref="C30:I31">IF(ISBLANK(C29),"",C29)</f>
        <v>37</v>
      </c>
      <c r="D30" s="396" t="str">
        <f t="shared" si="5"/>
        <v>Caregiver Connections</v>
      </c>
      <c r="E30" s="140" t="str">
        <f t="shared" si="5"/>
        <v/>
      </c>
      <c r="F30" s="140">
        <f t="shared" si="5"/>
        <v>42061</v>
      </c>
      <c r="G30" s="140">
        <f t="shared" si="5"/>
        <v>42186</v>
      </c>
      <c r="H30" s="122">
        <f t="shared" si="5"/>
        <v>685500</v>
      </c>
      <c r="I30" s="122" t="str">
        <f t="shared" si="5"/>
        <v/>
      </c>
      <c r="J30" s="119" t="s">
        <v>159</v>
      </c>
      <c r="K30" s="423">
        <v>10187.68</v>
      </c>
      <c r="L30" s="120"/>
      <c r="M30" s="116"/>
      <c r="N30" s="116"/>
      <c r="O30" s="129"/>
      <c r="P30" s="292">
        <f t="shared" si="4"/>
        <v>10187.68</v>
      </c>
    </row>
    <row r="31" spans="2:16" ht="15">
      <c r="B31" s="123">
        <v>1</v>
      </c>
      <c r="C31" s="139">
        <f aca="true" t="shared" si="6" ref="C31:H31">IF(ISBLANK(C29),"",C29)</f>
        <v>37</v>
      </c>
      <c r="D31" s="397" t="str">
        <f t="shared" si="6"/>
        <v>Caregiver Connections</v>
      </c>
      <c r="E31" s="141" t="str">
        <f t="shared" si="6"/>
        <v/>
      </c>
      <c r="F31" s="141">
        <f t="shared" si="6"/>
        <v>42061</v>
      </c>
      <c r="G31" s="141">
        <f t="shared" si="6"/>
        <v>42186</v>
      </c>
      <c r="H31" s="119">
        <f t="shared" si="6"/>
        <v>685500</v>
      </c>
      <c r="I31" s="119" t="str">
        <f t="shared" si="5"/>
        <v/>
      </c>
      <c r="J31" s="119" t="s">
        <v>237</v>
      </c>
      <c r="K31" s="423">
        <v>215567.07</v>
      </c>
      <c r="L31" s="120"/>
      <c r="M31" s="116"/>
      <c r="N31" s="116"/>
      <c r="O31" s="129"/>
      <c r="P31" s="292">
        <f t="shared" si="4"/>
        <v>215567.07</v>
      </c>
    </row>
    <row r="32" spans="2:16" ht="15.75">
      <c r="B32" s="96">
        <v>1</v>
      </c>
      <c r="C32" s="22">
        <f aca="true" t="shared" si="7" ref="C32:I32">IF(ISBLANK(C29),"",C29)</f>
        <v>37</v>
      </c>
      <c r="D32" s="398" t="str">
        <f t="shared" si="7"/>
        <v>Caregiver Connections</v>
      </c>
      <c r="E32" s="33" t="str">
        <f t="shared" si="7"/>
        <v/>
      </c>
      <c r="F32" s="33">
        <f t="shared" si="7"/>
        <v>42061</v>
      </c>
      <c r="G32" s="33">
        <f t="shared" si="7"/>
        <v>42186</v>
      </c>
      <c r="H32" s="34">
        <f t="shared" si="7"/>
        <v>685500</v>
      </c>
      <c r="I32" s="34" t="str">
        <f t="shared" si="7"/>
        <v/>
      </c>
      <c r="J32" s="8" t="s">
        <v>263</v>
      </c>
      <c r="K32" s="50">
        <f>SUM(K29:K31)</f>
        <v>225794.02000000002</v>
      </c>
      <c r="L32" s="50">
        <f>SUM(L29:L31)</f>
        <v>0</v>
      </c>
      <c r="M32" s="35">
        <f aca="true" t="shared" si="8" ref="M32:O32">SUM(M29:M31)</f>
        <v>0</v>
      </c>
      <c r="N32" s="35">
        <f t="shared" si="8"/>
        <v>0</v>
      </c>
      <c r="O32" s="310">
        <f t="shared" si="8"/>
        <v>0</v>
      </c>
      <c r="P32" s="8">
        <f t="shared" si="4"/>
        <v>225794.02000000002</v>
      </c>
    </row>
    <row r="33" spans="2:16" ht="15">
      <c r="B33" s="123">
        <v>2</v>
      </c>
      <c r="C33" s="137">
        <f>IF(P36&lt;&gt;0,VLOOKUP($D$7,Info_County_Code,2,FALSE),"")</f>
        <v>37</v>
      </c>
      <c r="D33" s="394" t="s">
        <v>483</v>
      </c>
      <c r="E33" s="422"/>
      <c r="F33" s="422">
        <v>42061</v>
      </c>
      <c r="G33" s="422">
        <v>42186</v>
      </c>
      <c r="H33" s="289">
        <v>3381000</v>
      </c>
      <c r="I33" s="116"/>
      <c r="J33" s="118" t="str">
        <f>IF(NOT(ISBLANK(D33)),$J$29,"")</f>
        <v>Project Administration</v>
      </c>
      <c r="K33" s="423">
        <v>145.24</v>
      </c>
      <c r="L33" s="120"/>
      <c r="M33" s="116"/>
      <c r="N33" s="116"/>
      <c r="O33" s="129"/>
      <c r="P33" s="292">
        <f aca="true" t="shared" si="9" ref="P33:P36">SUM(K33:O33)</f>
        <v>145.24</v>
      </c>
    </row>
    <row r="34" spans="2:16" ht="15">
      <c r="B34" s="123">
        <v>2</v>
      </c>
      <c r="C34" s="139">
        <f aca="true" t="shared" si="10" ref="C34:I34">IF(ISBLANK(C33),"",C33)</f>
        <v>37</v>
      </c>
      <c r="D34" s="396" t="str">
        <f t="shared" si="10"/>
        <v>Family Therapy Participation</v>
      </c>
      <c r="E34" s="140" t="str">
        <f t="shared" si="10"/>
        <v/>
      </c>
      <c r="F34" s="140">
        <f t="shared" si="10"/>
        <v>42061</v>
      </c>
      <c r="G34" s="140">
        <f t="shared" si="10"/>
        <v>42186</v>
      </c>
      <c r="H34" s="122">
        <f t="shared" si="10"/>
        <v>3381000</v>
      </c>
      <c r="I34" s="122" t="str">
        <f t="shared" si="10"/>
        <v/>
      </c>
      <c r="J34" s="119" t="str">
        <f>IF(NOT(ISBLANK(D33)),$J$30,"")</f>
        <v>Project Evaluation</v>
      </c>
      <c r="K34" s="423">
        <v>42727.48</v>
      </c>
      <c r="L34" s="120"/>
      <c r="M34" s="116"/>
      <c r="N34" s="116"/>
      <c r="O34" s="129"/>
      <c r="P34" s="292">
        <f t="shared" si="9"/>
        <v>42727.48</v>
      </c>
    </row>
    <row r="35" spans="2:16" ht="15">
      <c r="B35" s="123">
        <v>2</v>
      </c>
      <c r="C35" s="139">
        <f aca="true" t="shared" si="11" ref="C35:I35">IF(ISBLANK(C33),"",C33)</f>
        <v>37</v>
      </c>
      <c r="D35" s="397" t="str">
        <f t="shared" si="11"/>
        <v>Family Therapy Participation</v>
      </c>
      <c r="E35" s="141" t="str">
        <f t="shared" si="11"/>
        <v/>
      </c>
      <c r="F35" s="141">
        <f t="shared" si="11"/>
        <v>42061</v>
      </c>
      <c r="G35" s="141">
        <f t="shared" si="11"/>
        <v>42186</v>
      </c>
      <c r="H35" s="119">
        <f t="shared" si="11"/>
        <v>3381000</v>
      </c>
      <c r="I35" s="119" t="str">
        <f t="shared" si="11"/>
        <v/>
      </c>
      <c r="J35" s="119" t="str">
        <f>IF(NOT(ISBLANK(D33)),$J$31,"")</f>
        <v>Project Direct</v>
      </c>
      <c r="K35" s="423">
        <v>792221.83</v>
      </c>
      <c r="L35" s="120">
        <v>151648.82</v>
      </c>
      <c r="M35" s="116"/>
      <c r="N35" s="116"/>
      <c r="O35" s="129"/>
      <c r="P35" s="292">
        <f t="shared" si="9"/>
        <v>943870.6499999999</v>
      </c>
    </row>
    <row r="36" spans="2:16" ht="15.75">
      <c r="B36" s="361">
        <v>2</v>
      </c>
      <c r="C36" s="22">
        <f aca="true" t="shared" si="12" ref="C36:I36">IF(ISBLANK(C33),"",C33)</f>
        <v>37</v>
      </c>
      <c r="D36" s="398" t="str">
        <f t="shared" si="12"/>
        <v>Family Therapy Participation</v>
      </c>
      <c r="E36" s="33" t="str">
        <f t="shared" si="12"/>
        <v/>
      </c>
      <c r="F36" s="33">
        <f t="shared" si="12"/>
        <v>42061</v>
      </c>
      <c r="G36" s="33">
        <f t="shared" si="12"/>
        <v>42186</v>
      </c>
      <c r="H36" s="34">
        <f t="shared" si="12"/>
        <v>3381000</v>
      </c>
      <c r="I36" s="34" t="str">
        <f t="shared" si="12"/>
        <v/>
      </c>
      <c r="J36" s="8" t="str">
        <f>IF(NOT(ISBLANK(D33)),$J$32,"")</f>
        <v>Project Subtotal</v>
      </c>
      <c r="K36" s="50">
        <f aca="true" t="shared" si="13" ref="K36">SUM(K33:K35)</f>
        <v>835094.5499999999</v>
      </c>
      <c r="L36" s="50">
        <f>SUM(L33:L35)</f>
        <v>151648.82</v>
      </c>
      <c r="M36" s="35">
        <f aca="true" t="shared" si="14" ref="M36:O36">SUM(M33:M35)</f>
        <v>0</v>
      </c>
      <c r="N36" s="35">
        <f t="shared" si="14"/>
        <v>0</v>
      </c>
      <c r="O36" s="310">
        <f t="shared" si="14"/>
        <v>0</v>
      </c>
      <c r="P36" s="8">
        <f t="shared" si="9"/>
        <v>986743.3699999999</v>
      </c>
    </row>
    <row r="37" spans="2:16" ht="15">
      <c r="B37" s="123">
        <v>2</v>
      </c>
      <c r="C37" s="137">
        <f>IF(P40&lt;&gt;0,VLOOKUP($D$7,Info_County_Code,2,FALSE),"")</f>
        <v>37</v>
      </c>
      <c r="D37" s="394" t="s">
        <v>484</v>
      </c>
      <c r="E37" s="422"/>
      <c r="F37" s="422">
        <v>42061</v>
      </c>
      <c r="G37" s="422">
        <v>42370</v>
      </c>
      <c r="H37" s="289">
        <v>1495575</v>
      </c>
      <c r="I37" s="289">
        <v>2504778</v>
      </c>
      <c r="J37" s="118" t="str">
        <f>IF(NOT(ISBLANK(D37)),$J$29,"")</f>
        <v>Project Administration</v>
      </c>
      <c r="K37" s="423">
        <v>112.09</v>
      </c>
      <c r="L37" s="120"/>
      <c r="M37" s="116"/>
      <c r="N37" s="116"/>
      <c r="O37" s="129"/>
      <c r="P37" s="292">
        <f t="shared" si="4"/>
        <v>112.09</v>
      </c>
    </row>
    <row r="38" spans="2:16" ht="15">
      <c r="B38" s="123">
        <v>2</v>
      </c>
      <c r="C38" s="139">
        <f aca="true" t="shared" si="15" ref="C38:I38">IF(ISBLANK(C37),"",C37)</f>
        <v>37</v>
      </c>
      <c r="D38" s="396" t="str">
        <f t="shared" si="15"/>
        <v>Faith Based Initiative</v>
      </c>
      <c r="E38" s="140" t="str">
        <f t="shared" si="15"/>
        <v/>
      </c>
      <c r="F38" s="140">
        <f t="shared" si="15"/>
        <v>42061</v>
      </c>
      <c r="G38" s="140">
        <f t="shared" si="15"/>
        <v>42370</v>
      </c>
      <c r="H38" s="122">
        <f t="shared" si="15"/>
        <v>1495575</v>
      </c>
      <c r="I38" s="122">
        <f t="shared" si="15"/>
        <v>2504778</v>
      </c>
      <c r="J38" s="119" t="str">
        <f>IF(NOT(ISBLANK(D37)),$J$30,"")</f>
        <v>Project Evaluation</v>
      </c>
      <c r="K38" s="423">
        <v>20051.46</v>
      </c>
      <c r="L38" s="120"/>
      <c r="M38" s="116"/>
      <c r="N38" s="116"/>
      <c r="O38" s="129"/>
      <c r="P38" s="292">
        <f t="shared" si="4"/>
        <v>20051.46</v>
      </c>
    </row>
    <row r="39" spans="2:16" ht="15">
      <c r="B39" s="123">
        <v>2</v>
      </c>
      <c r="C39" s="139">
        <f aca="true" t="shared" si="16" ref="C39:I39">IF(ISBLANK(C37),"",C37)</f>
        <v>37</v>
      </c>
      <c r="D39" s="397" t="str">
        <f t="shared" si="16"/>
        <v>Faith Based Initiative</v>
      </c>
      <c r="E39" s="141" t="str">
        <f t="shared" si="16"/>
        <v/>
      </c>
      <c r="F39" s="141">
        <f t="shared" si="16"/>
        <v>42061</v>
      </c>
      <c r="G39" s="141">
        <f t="shared" si="16"/>
        <v>42370</v>
      </c>
      <c r="H39" s="119">
        <f t="shared" si="16"/>
        <v>1495575</v>
      </c>
      <c r="I39" s="119">
        <f t="shared" si="16"/>
        <v>2504778</v>
      </c>
      <c r="J39" s="119" t="str">
        <f>IF(NOT(ISBLANK(D37)),$J$31,"")</f>
        <v>Project Direct</v>
      </c>
      <c r="K39" s="423">
        <v>624307.8300000001</v>
      </c>
      <c r="L39" s="120"/>
      <c r="M39" s="116"/>
      <c r="N39" s="116"/>
      <c r="O39" s="129"/>
      <c r="P39" s="292">
        <f t="shared" si="4"/>
        <v>624307.8300000001</v>
      </c>
    </row>
    <row r="40" spans="2:16" ht="15.75">
      <c r="B40" s="96">
        <v>2</v>
      </c>
      <c r="C40" s="22">
        <f aca="true" t="shared" si="17" ref="C40:I40">IF(ISBLANK(C37),"",C37)</f>
        <v>37</v>
      </c>
      <c r="D40" s="398" t="str">
        <f t="shared" si="17"/>
        <v>Faith Based Initiative</v>
      </c>
      <c r="E40" s="33" t="str">
        <f t="shared" si="17"/>
        <v/>
      </c>
      <c r="F40" s="33">
        <f t="shared" si="17"/>
        <v>42061</v>
      </c>
      <c r="G40" s="33">
        <f t="shared" si="17"/>
        <v>42370</v>
      </c>
      <c r="H40" s="34">
        <f t="shared" si="17"/>
        <v>1495575</v>
      </c>
      <c r="I40" s="34">
        <f t="shared" si="17"/>
        <v>2504778</v>
      </c>
      <c r="J40" s="8" t="str">
        <f>IF(NOT(ISBLANK(D37)),$J$32,"")</f>
        <v>Project Subtotal</v>
      </c>
      <c r="K40" s="50">
        <f aca="true" t="shared" si="18" ref="K40">SUM(K37:K39)</f>
        <v>644471.3800000001</v>
      </c>
      <c r="L40" s="50">
        <f>SUM(L37:L39)</f>
        <v>0</v>
      </c>
      <c r="M40" s="35">
        <f aca="true" t="shared" si="19" ref="M40">SUM(M37:M39)</f>
        <v>0</v>
      </c>
      <c r="N40" s="35">
        <f aca="true" t="shared" si="20" ref="N40">SUM(N37:N39)</f>
        <v>0</v>
      </c>
      <c r="O40" s="310">
        <f aca="true" t="shared" si="21" ref="O40">SUM(O37:O39)</f>
        <v>0</v>
      </c>
      <c r="P40" s="8">
        <f t="shared" si="4"/>
        <v>644471.3800000001</v>
      </c>
    </row>
    <row r="41" spans="2:16" ht="15">
      <c r="B41" s="123">
        <v>3</v>
      </c>
      <c r="C41" s="137">
        <f>IF(P44&lt;&gt;0,VLOOKUP($D$7,Info_County_Code,2,FALSE),"")</f>
        <v>37</v>
      </c>
      <c r="D41" s="394" t="s">
        <v>485</v>
      </c>
      <c r="E41" s="422"/>
      <c r="F41" s="422">
        <v>42061</v>
      </c>
      <c r="G41" s="422">
        <v>42552</v>
      </c>
      <c r="H41" s="289">
        <v>3688959</v>
      </c>
      <c r="I41" s="116"/>
      <c r="J41" s="118" t="str">
        <f>IF(NOT(ISBLANK(D41)),$J$29,"")</f>
        <v>Project Administration</v>
      </c>
      <c r="K41" s="423">
        <v>193.18</v>
      </c>
      <c r="L41" s="120"/>
      <c r="M41" s="116"/>
      <c r="N41" s="116"/>
      <c r="O41" s="129"/>
      <c r="P41" s="292">
        <f t="shared" si="4"/>
        <v>193.18</v>
      </c>
    </row>
    <row r="42" spans="2:16" ht="15">
      <c r="B42" s="123">
        <v>3</v>
      </c>
      <c r="C42" s="139">
        <f aca="true" t="shared" si="22" ref="C42:I42">IF(ISBLANK(C41),"",C41)</f>
        <v>37</v>
      </c>
      <c r="D42" s="396" t="str">
        <f t="shared" si="22"/>
        <v>Ramp Up to Work</v>
      </c>
      <c r="E42" s="140" t="str">
        <f t="shared" si="22"/>
        <v/>
      </c>
      <c r="F42" s="140">
        <f t="shared" si="22"/>
        <v>42061</v>
      </c>
      <c r="G42" s="140">
        <f t="shared" si="22"/>
        <v>42552</v>
      </c>
      <c r="H42" s="122">
        <f t="shared" si="22"/>
        <v>3688959</v>
      </c>
      <c r="I42" s="122" t="str">
        <f t="shared" si="22"/>
        <v/>
      </c>
      <c r="J42" s="119" t="str">
        <f>IF(NOT(ISBLANK(D41)),$J$30,"")</f>
        <v>Project Evaluation</v>
      </c>
      <c r="K42" s="423">
        <v>52977.32</v>
      </c>
      <c r="L42" s="120"/>
      <c r="M42" s="116"/>
      <c r="N42" s="116"/>
      <c r="O42" s="129"/>
      <c r="P42" s="292">
        <f t="shared" si="4"/>
        <v>52977.32</v>
      </c>
    </row>
    <row r="43" spans="2:16" ht="15">
      <c r="B43" s="123">
        <v>3</v>
      </c>
      <c r="C43" s="139">
        <f aca="true" t="shared" si="23" ref="C43:I43">IF(ISBLANK(C41),"",C41)</f>
        <v>37</v>
      </c>
      <c r="D43" s="397" t="str">
        <f t="shared" si="23"/>
        <v>Ramp Up to Work</v>
      </c>
      <c r="E43" s="141" t="str">
        <f t="shared" si="23"/>
        <v/>
      </c>
      <c r="F43" s="141">
        <f t="shared" si="23"/>
        <v>42061</v>
      </c>
      <c r="G43" s="141">
        <f t="shared" si="23"/>
        <v>42552</v>
      </c>
      <c r="H43" s="119">
        <f t="shared" si="23"/>
        <v>3688959</v>
      </c>
      <c r="I43" s="119" t="str">
        <f t="shared" si="23"/>
        <v/>
      </c>
      <c r="J43" s="119" t="str">
        <f>IF(NOT(ISBLANK(D41)),$J$31,"")</f>
        <v>Project Direct</v>
      </c>
      <c r="K43" s="423">
        <v>1057542.55</v>
      </c>
      <c r="L43" s="120"/>
      <c r="M43" s="116"/>
      <c r="N43" s="116"/>
      <c r="O43" s="129"/>
      <c r="P43" s="292">
        <f t="shared" si="4"/>
        <v>1057542.55</v>
      </c>
    </row>
    <row r="44" spans="2:16" ht="15.75">
      <c r="B44" s="96">
        <v>3</v>
      </c>
      <c r="C44" s="22">
        <f aca="true" t="shared" si="24" ref="C44:I44">IF(ISBLANK(C41),"",C41)</f>
        <v>37</v>
      </c>
      <c r="D44" s="398" t="str">
        <f t="shared" si="24"/>
        <v>Ramp Up to Work</v>
      </c>
      <c r="E44" s="33" t="str">
        <f t="shared" si="24"/>
        <v/>
      </c>
      <c r="F44" s="33">
        <f t="shared" si="24"/>
        <v>42061</v>
      </c>
      <c r="G44" s="33">
        <f t="shared" si="24"/>
        <v>42552</v>
      </c>
      <c r="H44" s="34">
        <f t="shared" si="24"/>
        <v>3688959</v>
      </c>
      <c r="I44" s="34" t="str">
        <f t="shared" si="24"/>
        <v/>
      </c>
      <c r="J44" s="8" t="str">
        <f>IF(NOT(ISBLANK(D41)),$J$32,"")</f>
        <v>Project Subtotal</v>
      </c>
      <c r="K44" s="50">
        <f aca="true" t="shared" si="25" ref="K44">SUM(K41:K43)</f>
        <v>1110713.05</v>
      </c>
      <c r="L44" s="50">
        <f>SUM(L41:L43)</f>
        <v>0</v>
      </c>
      <c r="M44" s="35">
        <f aca="true" t="shared" si="26" ref="M44">SUM(M41:M43)</f>
        <v>0</v>
      </c>
      <c r="N44" s="35">
        <f aca="true" t="shared" si="27" ref="N44">SUM(N41:N43)</f>
        <v>0</v>
      </c>
      <c r="O44" s="310">
        <f aca="true" t="shared" si="28" ref="O44">SUM(O41:O43)</f>
        <v>0</v>
      </c>
      <c r="P44" s="8">
        <f t="shared" si="4"/>
        <v>1110713.05</v>
      </c>
    </row>
    <row r="45" spans="2:16" ht="15">
      <c r="B45" s="123">
        <v>4</v>
      </c>
      <c r="C45" s="137">
        <f>IF(P48&lt;&gt;0,VLOOKUP($D$7,Info_County_Code,2,FALSE),"")</f>
        <v>37</v>
      </c>
      <c r="D45" s="394" t="s">
        <v>486</v>
      </c>
      <c r="E45" s="422"/>
      <c r="F45" s="422">
        <v>42061</v>
      </c>
      <c r="G45" s="422">
        <v>42552</v>
      </c>
      <c r="H45" s="116">
        <v>3334347</v>
      </c>
      <c r="I45" s="116"/>
      <c r="J45" s="118" t="str">
        <f>IF(NOT(ISBLANK(D45)),$J$29,"")</f>
        <v>Project Administration</v>
      </c>
      <c r="K45" s="423">
        <v>180.43</v>
      </c>
      <c r="L45" s="120"/>
      <c r="M45" s="116"/>
      <c r="N45" s="116"/>
      <c r="O45" s="129"/>
      <c r="P45" s="292">
        <f t="shared" si="4"/>
        <v>180.43</v>
      </c>
    </row>
    <row r="46" spans="2:16" ht="15">
      <c r="B46" s="123">
        <v>4</v>
      </c>
      <c r="C46" s="139">
        <f aca="true" t="shared" si="29" ref="C46:I46">IF(ISBLANK(C45),"",C45)</f>
        <v>37</v>
      </c>
      <c r="D46" s="396" t="str">
        <f t="shared" si="29"/>
        <v xml:space="preserve">Peer Assisted Transitions                                    </v>
      </c>
      <c r="E46" s="140" t="str">
        <f t="shared" si="29"/>
        <v/>
      </c>
      <c r="F46" s="140">
        <f t="shared" si="29"/>
        <v>42061</v>
      </c>
      <c r="G46" s="140">
        <f t="shared" si="29"/>
        <v>42552</v>
      </c>
      <c r="H46" s="122">
        <f t="shared" si="29"/>
        <v>3334347</v>
      </c>
      <c r="I46" s="122" t="str">
        <f t="shared" si="29"/>
        <v/>
      </c>
      <c r="J46" s="119" t="str">
        <f>IF(NOT(ISBLANK(D45)),$J$30,"")</f>
        <v>Project Evaluation</v>
      </c>
      <c r="K46" s="423">
        <v>47687.03</v>
      </c>
      <c r="L46" s="120"/>
      <c r="M46" s="116"/>
      <c r="N46" s="116"/>
      <c r="O46" s="129"/>
      <c r="P46" s="292">
        <f t="shared" si="4"/>
        <v>47687.03</v>
      </c>
    </row>
    <row r="47" spans="2:16" ht="15">
      <c r="B47" s="123">
        <v>4</v>
      </c>
      <c r="C47" s="139">
        <f aca="true" t="shared" si="30" ref="C47:I47">IF(ISBLANK(C45),"",C45)</f>
        <v>37</v>
      </c>
      <c r="D47" s="397" t="str">
        <f t="shared" si="30"/>
        <v xml:space="preserve">Peer Assisted Transitions                                    </v>
      </c>
      <c r="E47" s="141" t="str">
        <f t="shared" si="30"/>
        <v/>
      </c>
      <c r="F47" s="141">
        <f t="shared" si="30"/>
        <v>42061</v>
      </c>
      <c r="G47" s="141">
        <f t="shared" si="30"/>
        <v>42552</v>
      </c>
      <c r="H47" s="119">
        <f t="shared" si="30"/>
        <v>3334347</v>
      </c>
      <c r="I47" s="119" t="str">
        <f t="shared" si="30"/>
        <v/>
      </c>
      <c r="J47" s="119" t="str">
        <f>IF(NOT(ISBLANK(D45)),$J$31,"")</f>
        <v>Project Direct</v>
      </c>
      <c r="K47" s="423">
        <v>989542.52</v>
      </c>
      <c r="L47" s="120"/>
      <c r="M47" s="116"/>
      <c r="N47" s="116"/>
      <c r="O47" s="129"/>
      <c r="P47" s="292">
        <f t="shared" si="4"/>
        <v>989542.52</v>
      </c>
    </row>
    <row r="48" spans="2:16" ht="15.75">
      <c r="B48" s="96">
        <v>4</v>
      </c>
      <c r="C48" s="22">
        <f aca="true" t="shared" si="31" ref="C48:I48">IF(ISBLANK(C45),"",C45)</f>
        <v>37</v>
      </c>
      <c r="D48" s="398" t="str">
        <f t="shared" si="31"/>
        <v xml:space="preserve">Peer Assisted Transitions                                    </v>
      </c>
      <c r="E48" s="33" t="str">
        <f t="shared" si="31"/>
        <v/>
      </c>
      <c r="F48" s="33">
        <f t="shared" si="31"/>
        <v>42061</v>
      </c>
      <c r="G48" s="33">
        <f t="shared" si="31"/>
        <v>42552</v>
      </c>
      <c r="H48" s="34">
        <f t="shared" si="31"/>
        <v>3334347</v>
      </c>
      <c r="I48" s="34" t="str">
        <f t="shared" si="31"/>
        <v/>
      </c>
      <c r="J48" s="8" t="str">
        <f>IF(NOT(ISBLANK(D45)),$J$32,"")</f>
        <v>Project Subtotal</v>
      </c>
      <c r="K48" s="50">
        <f aca="true" t="shared" si="32" ref="K48">SUM(K45:K47)</f>
        <v>1037409.98</v>
      </c>
      <c r="L48" s="50">
        <f>SUM(L45:L47)</f>
        <v>0</v>
      </c>
      <c r="M48" s="35">
        <f aca="true" t="shared" si="33" ref="M48">SUM(M45:M47)</f>
        <v>0</v>
      </c>
      <c r="N48" s="35">
        <f aca="true" t="shared" si="34" ref="N48">SUM(N45:N47)</f>
        <v>0</v>
      </c>
      <c r="O48" s="310">
        <f aca="true" t="shared" si="35" ref="O48">SUM(O45:O47)</f>
        <v>0</v>
      </c>
      <c r="P48" s="8">
        <f t="shared" si="4"/>
        <v>1037409.98</v>
      </c>
    </row>
    <row r="49" spans="2:16" ht="15">
      <c r="B49" s="123">
        <v>5</v>
      </c>
      <c r="C49" s="137">
        <f>IF(P52&lt;&gt;0,VLOOKUP($D$7,Info_County_Code,2,FALSE),"")</f>
        <v>37</v>
      </c>
      <c r="D49" s="394" t="s">
        <v>487</v>
      </c>
      <c r="E49" s="422"/>
      <c r="F49" s="422">
        <v>42061</v>
      </c>
      <c r="G49" s="422">
        <v>42186</v>
      </c>
      <c r="H49" s="289">
        <v>1211613</v>
      </c>
      <c r="I49" s="116"/>
      <c r="J49" s="118" t="str">
        <f>IF(NOT(ISBLANK(D49)),$J$29,"")</f>
        <v>Project Administration</v>
      </c>
      <c r="K49" s="120">
        <v>105.83</v>
      </c>
      <c r="L49" s="120"/>
      <c r="M49" s="116"/>
      <c r="N49" s="116"/>
      <c r="O49" s="129"/>
      <c r="P49" s="292">
        <f t="shared" si="4"/>
        <v>105.83</v>
      </c>
    </row>
    <row r="50" spans="2:16" ht="15">
      <c r="B50" s="123">
        <v>5</v>
      </c>
      <c r="C50" s="139">
        <f aca="true" t="shared" si="36" ref="C50:I50">IF(ISBLANK(C49),"",C49)</f>
        <v>37</v>
      </c>
      <c r="D50" s="396" t="str">
        <f t="shared" si="36"/>
        <v>Urban Beats</v>
      </c>
      <c r="E50" s="140" t="str">
        <f t="shared" si="36"/>
        <v/>
      </c>
      <c r="F50" s="140">
        <f t="shared" si="36"/>
        <v>42061</v>
      </c>
      <c r="G50" s="140">
        <f t="shared" si="36"/>
        <v>42186</v>
      </c>
      <c r="H50" s="122">
        <f t="shared" si="36"/>
        <v>1211613</v>
      </c>
      <c r="I50" s="122" t="str">
        <f t="shared" si="36"/>
        <v/>
      </c>
      <c r="J50" s="119" t="str">
        <f>IF(NOT(ISBLANK(D49)),$J$30,"")</f>
        <v>Project Evaluation</v>
      </c>
      <c r="K50" s="120">
        <v>17399.53</v>
      </c>
      <c r="L50" s="120"/>
      <c r="M50" s="116"/>
      <c r="N50" s="116"/>
      <c r="O50" s="129"/>
      <c r="P50" s="292">
        <f t="shared" si="4"/>
        <v>17399.53</v>
      </c>
    </row>
    <row r="51" spans="2:16" ht="15">
      <c r="B51" s="123">
        <v>5</v>
      </c>
      <c r="C51" s="139">
        <f aca="true" t="shared" si="37" ref="C51:I51">IF(ISBLANK(C49),"",C49)</f>
        <v>37</v>
      </c>
      <c r="D51" s="397" t="str">
        <f t="shared" si="37"/>
        <v>Urban Beats</v>
      </c>
      <c r="E51" s="141" t="str">
        <f t="shared" si="37"/>
        <v/>
      </c>
      <c r="F51" s="141">
        <f t="shared" si="37"/>
        <v>42061</v>
      </c>
      <c r="G51" s="141">
        <f t="shared" si="37"/>
        <v>42186</v>
      </c>
      <c r="H51" s="119">
        <f t="shared" si="37"/>
        <v>1211613</v>
      </c>
      <c r="I51" s="119" t="str">
        <f t="shared" si="37"/>
        <v/>
      </c>
      <c r="J51" s="119" t="str">
        <f>IF(NOT(ISBLANK(D49)),$J$31,"")</f>
        <v>Project Direct</v>
      </c>
      <c r="K51" s="120">
        <v>590985.93</v>
      </c>
      <c r="L51" s="120"/>
      <c r="M51" s="116"/>
      <c r="N51" s="116"/>
      <c r="O51" s="129"/>
      <c r="P51" s="292">
        <f t="shared" si="4"/>
        <v>590985.93</v>
      </c>
    </row>
    <row r="52" spans="2:16" ht="15.75">
      <c r="B52" s="96">
        <v>5</v>
      </c>
      <c r="C52" s="22">
        <f aca="true" t="shared" si="38" ref="C52:I52">IF(ISBLANK(C49),"",C49)</f>
        <v>37</v>
      </c>
      <c r="D52" s="398" t="str">
        <f t="shared" si="38"/>
        <v>Urban Beats</v>
      </c>
      <c r="E52" s="33" t="str">
        <f t="shared" si="38"/>
        <v/>
      </c>
      <c r="F52" s="33">
        <f t="shared" si="38"/>
        <v>42061</v>
      </c>
      <c r="G52" s="33">
        <f t="shared" si="38"/>
        <v>42186</v>
      </c>
      <c r="H52" s="34">
        <f t="shared" si="38"/>
        <v>1211613</v>
      </c>
      <c r="I52" s="34" t="str">
        <f t="shared" si="38"/>
        <v/>
      </c>
      <c r="J52" s="8" t="str">
        <f>IF(NOT(ISBLANK(D49)),$J$32,"")</f>
        <v>Project Subtotal</v>
      </c>
      <c r="K52" s="50">
        <f aca="true" t="shared" si="39" ref="K52">SUM(K49:K51)</f>
        <v>608491.29</v>
      </c>
      <c r="L52" s="50">
        <f>SUM(L49:L51)</f>
        <v>0</v>
      </c>
      <c r="M52" s="35">
        <f aca="true" t="shared" si="40" ref="M52">SUM(M49:M51)</f>
        <v>0</v>
      </c>
      <c r="N52" s="35">
        <f aca="true" t="shared" si="41" ref="N52">SUM(N49:N51)</f>
        <v>0</v>
      </c>
      <c r="O52" s="310">
        <f aca="true" t="shared" si="42" ref="O52">SUM(O49:O51)</f>
        <v>0</v>
      </c>
      <c r="P52" s="8">
        <f t="shared" si="4"/>
        <v>608491.29</v>
      </c>
    </row>
    <row r="53" spans="2:16" ht="15">
      <c r="B53" s="123">
        <v>6</v>
      </c>
      <c r="C53" s="137">
        <f>IF(P56&lt;&gt;0,VLOOKUP($D$7,Info_County_Code,2,FALSE),"")</f>
        <v>37</v>
      </c>
      <c r="D53" s="394" t="s">
        <v>488</v>
      </c>
      <c r="E53" s="422"/>
      <c r="F53" s="422">
        <v>42061</v>
      </c>
      <c r="G53" s="422">
        <v>42401</v>
      </c>
      <c r="H53" s="289">
        <v>1331919</v>
      </c>
      <c r="I53" s="116"/>
      <c r="J53" s="118" t="str">
        <f>IF(NOT(ISBLANK(D53)),$J$29,"")</f>
        <v>Project Administration</v>
      </c>
      <c r="K53" s="423">
        <v>74.79</v>
      </c>
      <c r="L53" s="120"/>
      <c r="M53" s="116"/>
      <c r="N53" s="116"/>
      <c r="O53" s="129"/>
      <c r="P53" s="292">
        <f t="shared" si="4"/>
        <v>74.79</v>
      </c>
    </row>
    <row r="54" spans="2:16" ht="15">
      <c r="B54" s="123">
        <v>6</v>
      </c>
      <c r="C54" s="139">
        <f aca="true" t="shared" si="43" ref="C54:I54">IF(ISBLANK(C53),"",C53)</f>
        <v>37</v>
      </c>
      <c r="D54" s="396" t="str">
        <f t="shared" si="43"/>
        <v>Mobile Hoarding Intervention Program</v>
      </c>
      <c r="E54" s="140" t="str">
        <f t="shared" si="43"/>
        <v/>
      </c>
      <c r="F54" s="140">
        <f t="shared" si="43"/>
        <v>42061</v>
      </c>
      <c r="G54" s="140">
        <f t="shared" si="43"/>
        <v>42401</v>
      </c>
      <c r="H54" s="122">
        <f t="shared" si="43"/>
        <v>1331919</v>
      </c>
      <c r="I54" s="122" t="str">
        <f t="shared" si="43"/>
        <v/>
      </c>
      <c r="J54" s="119" t="str">
        <f>IF(NOT(ISBLANK(D53)),$J$30,"")</f>
        <v>Project Evaluation</v>
      </c>
      <c r="K54" s="423">
        <v>24095.77</v>
      </c>
      <c r="L54" s="120"/>
      <c r="M54" s="116"/>
      <c r="N54" s="116"/>
      <c r="O54" s="129"/>
      <c r="P54" s="292">
        <f t="shared" si="4"/>
        <v>24095.77</v>
      </c>
    </row>
    <row r="55" spans="2:16" ht="15">
      <c r="B55" s="123">
        <v>6</v>
      </c>
      <c r="C55" s="139">
        <f aca="true" t="shared" si="44" ref="C55:I55">IF(ISBLANK(C53),"",C53)</f>
        <v>37</v>
      </c>
      <c r="D55" s="397" t="str">
        <f t="shared" si="44"/>
        <v>Mobile Hoarding Intervention Program</v>
      </c>
      <c r="E55" s="141" t="str">
        <f t="shared" si="44"/>
        <v/>
      </c>
      <c r="F55" s="141">
        <f t="shared" si="44"/>
        <v>42061</v>
      </c>
      <c r="G55" s="141">
        <f t="shared" si="44"/>
        <v>42401</v>
      </c>
      <c r="H55" s="119">
        <f t="shared" si="44"/>
        <v>1331919</v>
      </c>
      <c r="I55" s="119" t="str">
        <f t="shared" si="44"/>
        <v/>
      </c>
      <c r="J55" s="119" t="str">
        <f>IF(NOT(ISBLANK(D53)),$J$31,"")</f>
        <v>Project Direct</v>
      </c>
      <c r="K55" s="423">
        <v>405821.38999999996</v>
      </c>
      <c r="L55" s="120"/>
      <c r="M55" s="116"/>
      <c r="N55" s="116"/>
      <c r="O55" s="129"/>
      <c r="P55" s="292">
        <f t="shared" si="4"/>
        <v>405821.38999999996</v>
      </c>
    </row>
    <row r="56" spans="2:16" ht="15.75">
      <c r="B56" s="96">
        <v>6</v>
      </c>
      <c r="C56" s="22">
        <f aca="true" t="shared" si="45" ref="C56:I56">IF(ISBLANK(C53),"",C53)</f>
        <v>37</v>
      </c>
      <c r="D56" s="398" t="str">
        <f t="shared" si="45"/>
        <v>Mobile Hoarding Intervention Program</v>
      </c>
      <c r="E56" s="33" t="str">
        <f t="shared" si="45"/>
        <v/>
      </c>
      <c r="F56" s="33">
        <f t="shared" si="45"/>
        <v>42061</v>
      </c>
      <c r="G56" s="33">
        <f t="shared" si="45"/>
        <v>42401</v>
      </c>
      <c r="H56" s="34">
        <f t="shared" si="45"/>
        <v>1331919</v>
      </c>
      <c r="I56" s="34" t="str">
        <f t="shared" si="45"/>
        <v/>
      </c>
      <c r="J56" s="8" t="str">
        <f>IF(NOT(ISBLANK(D53)),$J$32,"")</f>
        <v>Project Subtotal</v>
      </c>
      <c r="K56" s="50">
        <f aca="true" t="shared" si="46" ref="K56">SUM(K53:K55)</f>
        <v>429991.94999999995</v>
      </c>
      <c r="L56" s="50">
        <f>SUM(L53:L55)</f>
        <v>0</v>
      </c>
      <c r="M56" s="35">
        <f aca="true" t="shared" si="47" ref="M56">SUM(M53:M55)</f>
        <v>0</v>
      </c>
      <c r="N56" s="35">
        <f aca="true" t="shared" si="48" ref="N56">SUM(N53:N55)</f>
        <v>0</v>
      </c>
      <c r="O56" s="310">
        <f aca="true" t="shared" si="49" ref="O56">SUM(O53:O55)</f>
        <v>0</v>
      </c>
      <c r="P56" s="8">
        <f t="shared" si="4"/>
        <v>429991.94999999995</v>
      </c>
    </row>
    <row r="57" spans="2:16" ht="15">
      <c r="B57" s="123">
        <v>7</v>
      </c>
      <c r="C57" s="137">
        <f>IF(P60&lt;&gt;0,VLOOKUP($D$7,Info_County_Code,2,FALSE),"")</f>
        <v>37</v>
      </c>
      <c r="D57" s="394" t="s">
        <v>489</v>
      </c>
      <c r="E57" s="422"/>
      <c r="F57" s="422">
        <v>42880</v>
      </c>
      <c r="G57" s="138">
        <v>43252</v>
      </c>
      <c r="H57" s="289">
        <v>8788837</v>
      </c>
      <c r="I57" s="116"/>
      <c r="J57" s="118" t="str">
        <f>IF(NOT(ISBLANK(D57)),$J$29,"")</f>
        <v>Project Administration</v>
      </c>
      <c r="K57" s="120">
        <v>151.43</v>
      </c>
      <c r="L57" s="120"/>
      <c r="M57" s="116"/>
      <c r="N57" s="116"/>
      <c r="O57" s="129"/>
      <c r="P57" s="292">
        <f t="shared" si="4"/>
        <v>151.43</v>
      </c>
    </row>
    <row r="58" spans="2:16" ht="15">
      <c r="B58" s="123">
        <v>7</v>
      </c>
      <c r="C58" s="139">
        <f aca="true" t="shared" si="50" ref="C58:I58">IF(ISBLANK(C57),"",C57)</f>
        <v>37</v>
      </c>
      <c r="D58" s="396" t="str">
        <f t="shared" si="50"/>
        <v>ROAM Mobile Services</v>
      </c>
      <c r="E58" s="140" t="str">
        <f t="shared" si="50"/>
        <v/>
      </c>
      <c r="F58" s="140">
        <f t="shared" si="50"/>
        <v>42880</v>
      </c>
      <c r="G58" s="140">
        <f t="shared" si="50"/>
        <v>43252</v>
      </c>
      <c r="H58" s="122">
        <f t="shared" si="50"/>
        <v>8788837</v>
      </c>
      <c r="I58" s="122" t="str">
        <f t="shared" si="50"/>
        <v/>
      </c>
      <c r="J58" s="119" t="str">
        <f>IF(NOT(ISBLANK(D57)),$J$30,"")</f>
        <v>Project Evaluation</v>
      </c>
      <c r="K58" s="120">
        <v>0</v>
      </c>
      <c r="L58" s="120"/>
      <c r="M58" s="116"/>
      <c r="N58" s="116"/>
      <c r="O58" s="129"/>
      <c r="P58" s="292">
        <f t="shared" si="4"/>
        <v>0</v>
      </c>
    </row>
    <row r="59" spans="2:16" ht="15">
      <c r="B59" s="123">
        <v>7</v>
      </c>
      <c r="C59" s="139">
        <f aca="true" t="shared" si="51" ref="C59:I59">IF(ISBLANK(C57),"",C57)</f>
        <v>37</v>
      </c>
      <c r="D59" s="397" t="str">
        <f t="shared" si="51"/>
        <v>ROAM Mobile Services</v>
      </c>
      <c r="E59" s="141" t="str">
        <f t="shared" si="51"/>
        <v/>
      </c>
      <c r="F59" s="141">
        <f t="shared" si="51"/>
        <v>42880</v>
      </c>
      <c r="G59" s="141">
        <f t="shared" si="51"/>
        <v>43252</v>
      </c>
      <c r="H59" s="119">
        <f t="shared" si="51"/>
        <v>8788837</v>
      </c>
      <c r="I59" s="119" t="str">
        <f t="shared" si="51"/>
        <v/>
      </c>
      <c r="J59" s="119" t="str">
        <f>IF(NOT(ISBLANK(D57)),$J$31,"")</f>
        <v>Project Direct</v>
      </c>
      <c r="K59" s="120">
        <v>870524.59</v>
      </c>
      <c r="L59" s="120"/>
      <c r="M59" s="116"/>
      <c r="N59" s="116"/>
      <c r="O59" s="129"/>
      <c r="P59" s="292">
        <f t="shared" si="4"/>
        <v>870524.59</v>
      </c>
    </row>
    <row r="60" spans="2:16" ht="15.75">
      <c r="B60" s="96">
        <v>7</v>
      </c>
      <c r="C60" s="22">
        <f aca="true" t="shared" si="52" ref="C60:I60">IF(ISBLANK(C57),"",C57)</f>
        <v>37</v>
      </c>
      <c r="D60" s="398" t="str">
        <f t="shared" si="52"/>
        <v>ROAM Mobile Services</v>
      </c>
      <c r="E60" s="33" t="str">
        <f t="shared" si="52"/>
        <v/>
      </c>
      <c r="F60" s="33">
        <f t="shared" si="52"/>
        <v>42880</v>
      </c>
      <c r="G60" s="33">
        <f t="shared" si="52"/>
        <v>43252</v>
      </c>
      <c r="H60" s="34">
        <f t="shared" si="52"/>
        <v>8788837</v>
      </c>
      <c r="I60" s="34" t="str">
        <f t="shared" si="52"/>
        <v/>
      </c>
      <c r="J60" s="8" t="str">
        <f>IF(NOT(ISBLANK(D57)),$J$32,"")</f>
        <v>Project Subtotal</v>
      </c>
      <c r="K60" s="50">
        <f aca="true" t="shared" si="53" ref="K60">SUM(K57:K59)</f>
        <v>870676.02</v>
      </c>
      <c r="L60" s="50">
        <f>SUM(L57:L59)</f>
        <v>0</v>
      </c>
      <c r="M60" s="35">
        <f aca="true" t="shared" si="54" ref="M60">SUM(M57:M59)</f>
        <v>0</v>
      </c>
      <c r="N60" s="35">
        <f aca="true" t="shared" si="55" ref="N60">SUM(N57:N59)</f>
        <v>0</v>
      </c>
      <c r="O60" s="310">
        <f aca="true" t="shared" si="56" ref="O60">SUM(O57:O59)</f>
        <v>0</v>
      </c>
      <c r="P60" s="8">
        <f t="shared" si="4"/>
        <v>870676.02</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1">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1">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1">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1">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1">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1">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1">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1">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1">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1">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1">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5" r:id="rId1"/>
  <headerFooter>
    <oddFooter>&amp;C&amp;"Arial,Regular"&amp;16Page &amp;P of &amp;N</oddFooter>
  </headerFooter>
  <rowBreaks count="1" manualBreakCount="1">
    <brk id="60"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D7" sqref="D7"/>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 Diego</v>
      </c>
      <c r="F7" s="94" t="s">
        <v>2</v>
      </c>
      <c r="G7" s="38">
        <f>IF(ISBLANK('1. Information'!D7),"",'1. Information'!D7)</f>
        <v>43452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4" t="s">
        <v>213</v>
      </c>
      <c r="H12" s="465"/>
      <c r="I12" s="465"/>
      <c r="J12" s="466"/>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9" t="s">
        <v>16</v>
      </c>
      <c r="D14" s="449"/>
      <c r="E14" s="446"/>
      <c r="F14" s="289"/>
      <c r="G14" s="142"/>
      <c r="H14" s="142"/>
      <c r="I14" s="142"/>
      <c r="J14" s="142"/>
      <c r="K14" s="291">
        <f>SUM(F14:J14)</f>
        <v>0</v>
      </c>
      <c r="L14"/>
      <c r="M14"/>
      <c r="N14" s="108"/>
      <c r="O14" s="108"/>
    </row>
    <row r="15" spans="1:15" ht="15.75">
      <c r="A15" s="108"/>
      <c r="B15" s="101">
        <v>2</v>
      </c>
      <c r="C15" s="449" t="s">
        <v>17</v>
      </c>
      <c r="D15" s="449"/>
      <c r="E15" s="446"/>
      <c r="F15" s="289"/>
      <c r="G15" s="142"/>
      <c r="H15" s="142"/>
      <c r="I15" s="142"/>
      <c r="J15" s="142"/>
      <c r="K15" s="291">
        <f aca="true" t="shared" si="0" ref="K15:K19">SUM(F15:J15)</f>
        <v>0</v>
      </c>
      <c r="L15"/>
      <c r="M15"/>
      <c r="N15" s="108"/>
      <c r="O15" s="108"/>
    </row>
    <row r="16" spans="1:15" ht="15.75">
      <c r="A16" s="108"/>
      <c r="B16" s="101">
        <v>3</v>
      </c>
      <c r="C16" s="449" t="s">
        <v>238</v>
      </c>
      <c r="D16" s="449"/>
      <c r="E16" s="446"/>
      <c r="F16" s="289"/>
      <c r="G16" s="354"/>
      <c r="H16" s="354"/>
      <c r="I16" s="354"/>
      <c r="J16" s="354"/>
      <c r="K16" s="291">
        <f t="shared" si="0"/>
        <v>0</v>
      </c>
      <c r="L16"/>
      <c r="M16"/>
      <c r="N16" s="108"/>
      <c r="O16" s="108"/>
    </row>
    <row r="17" spans="1:15" ht="15.75">
      <c r="A17" s="108"/>
      <c r="B17" s="101">
        <v>4</v>
      </c>
      <c r="C17" s="449" t="s">
        <v>221</v>
      </c>
      <c r="D17" s="449"/>
      <c r="E17" s="446"/>
      <c r="F17" s="366"/>
      <c r="G17" s="119"/>
      <c r="H17" s="119"/>
      <c r="I17" s="119"/>
      <c r="J17" s="119"/>
      <c r="K17" s="291">
        <f t="shared" si="0"/>
        <v>0</v>
      </c>
      <c r="L17"/>
      <c r="M17"/>
      <c r="N17" s="108"/>
      <c r="O17" s="108"/>
    </row>
    <row r="18" spans="1:15" ht="15.75">
      <c r="A18" s="108"/>
      <c r="B18" s="101">
        <v>5</v>
      </c>
      <c r="C18" s="449" t="s">
        <v>222</v>
      </c>
      <c r="D18" s="449"/>
      <c r="E18" s="446"/>
      <c r="F18" s="366"/>
      <c r="G18" s="119"/>
      <c r="H18" s="119"/>
      <c r="I18" s="119"/>
      <c r="J18" s="119"/>
      <c r="K18" s="291">
        <f t="shared" si="0"/>
        <v>0</v>
      </c>
      <c r="L18"/>
      <c r="M18"/>
      <c r="N18" s="108"/>
      <c r="O18" s="108"/>
    </row>
    <row r="19" spans="1:15" ht="15.75">
      <c r="A19" s="108"/>
      <c r="B19" s="101">
        <v>6</v>
      </c>
      <c r="C19" s="446" t="s">
        <v>174</v>
      </c>
      <c r="D19" s="447"/>
      <c r="E19" s="448"/>
      <c r="F19" s="122">
        <f>SUM(E28:E32)</f>
        <v>2201601.06</v>
      </c>
      <c r="G19" s="121">
        <f aca="true" t="shared" si="1" ref="G19:I19">SUM(F28:F32)</f>
        <v>0</v>
      </c>
      <c r="H19" s="122">
        <f t="shared" si="1"/>
        <v>0</v>
      </c>
      <c r="I19" s="122">
        <f t="shared" si="1"/>
        <v>0</v>
      </c>
      <c r="J19" s="122">
        <f>SUM(I28:I32)</f>
        <v>0</v>
      </c>
      <c r="K19" s="292">
        <f t="shared" si="0"/>
        <v>2201601.06</v>
      </c>
      <c r="L19"/>
      <c r="M19"/>
      <c r="N19" s="108"/>
      <c r="O19" s="108"/>
    </row>
    <row r="20" spans="1:15" ht="30.95" customHeight="1">
      <c r="A20" s="108"/>
      <c r="B20" s="101">
        <v>7</v>
      </c>
      <c r="C20" s="459" t="s">
        <v>220</v>
      </c>
      <c r="D20" s="459"/>
      <c r="E20" s="459"/>
      <c r="F20" s="8">
        <f>SUM(F14:F16,F18:F19)</f>
        <v>2201601.06</v>
      </c>
      <c r="G20" s="43">
        <f aca="true" t="shared" si="2" ref="G20:J20">SUM(G14:G16,G18:G19)</f>
        <v>0</v>
      </c>
      <c r="H20" s="7">
        <f t="shared" si="2"/>
        <v>0</v>
      </c>
      <c r="I20" s="7">
        <f t="shared" si="2"/>
        <v>0</v>
      </c>
      <c r="J20" s="7">
        <f t="shared" si="2"/>
        <v>0</v>
      </c>
      <c r="K20" s="8">
        <f>SUM(K14:K16,K18:K19)</f>
        <v>2201601.06</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7" t="s">
        <v>30</v>
      </c>
      <c r="G26" s="467"/>
      <c r="H26" s="467"/>
      <c r="I26" s="467"/>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18" ht="15.75">
      <c r="A29" s="108"/>
      <c r="B29" s="101">
        <v>2</v>
      </c>
      <c r="C29" s="132">
        <f>IF(J29&lt;&gt;0,VLOOKUP($D$7,Info_County_Code,2,FALSE),"")</f>
        <v>37</v>
      </c>
      <c r="D29" s="145" t="s">
        <v>106</v>
      </c>
      <c r="E29" s="289">
        <v>1158910.49</v>
      </c>
      <c r="F29" s="120"/>
      <c r="G29" s="116"/>
      <c r="H29" s="116"/>
      <c r="I29" s="312"/>
      <c r="J29" s="119">
        <f aca="true" t="shared" si="3" ref="J29:J32">SUM(E29:I29)</f>
        <v>1158910.49</v>
      </c>
      <c r="K29"/>
      <c r="L29"/>
      <c r="M29"/>
      <c r="N29"/>
      <c r="O29"/>
      <c r="P29"/>
      <c r="Q29"/>
      <c r="R29"/>
    </row>
    <row r="30" spans="1:18" ht="15.75">
      <c r="A30" s="108"/>
      <c r="B30" s="101">
        <v>3</v>
      </c>
      <c r="C30" s="132">
        <f>IF(J30&lt;&gt;0,VLOOKUP($D$7,Info_County_Code,2,FALSE),"")</f>
        <v>37</v>
      </c>
      <c r="D30" s="145" t="s">
        <v>107</v>
      </c>
      <c r="E30" s="289">
        <v>272219.18</v>
      </c>
      <c r="F30" s="120"/>
      <c r="G30" s="116"/>
      <c r="H30" s="116"/>
      <c r="I30" s="312"/>
      <c r="J30" s="119">
        <f t="shared" si="3"/>
        <v>272219.18</v>
      </c>
      <c r="K30"/>
      <c r="L30"/>
      <c r="M30"/>
      <c r="N30"/>
      <c r="O30"/>
      <c r="P30"/>
      <c r="Q30"/>
      <c r="R30"/>
    </row>
    <row r="31" spans="1:18" ht="15.75">
      <c r="A31" s="108"/>
      <c r="B31" s="144">
        <v>4</v>
      </c>
      <c r="C31" s="132">
        <f>IF(J31&lt;&gt;0,VLOOKUP($D$7,Info_County_Code,2,FALSE),"")</f>
        <v>37</v>
      </c>
      <c r="D31" s="145" t="s">
        <v>108</v>
      </c>
      <c r="E31" s="289">
        <v>770471.39</v>
      </c>
      <c r="F31" s="120"/>
      <c r="G31" s="116"/>
      <c r="H31" s="116"/>
      <c r="I31" s="312"/>
      <c r="J31" s="119">
        <f t="shared" si="3"/>
        <v>770471.39</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D7" sqref="D7"/>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1"/>
      <c r="C1" s="461"/>
      <c r="D1" s="461"/>
    </row>
    <row r="2" s="320"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 Diego</v>
      </c>
      <c r="E7" s="16"/>
      <c r="F7" s="95" t="s">
        <v>2</v>
      </c>
      <c r="G7" s="109">
        <f>IF(ISBLANK('1. Information'!D7),"",'1. Information'!D7)</f>
        <v>43452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34" t="s">
        <v>213</v>
      </c>
      <c r="H12" s="434"/>
      <c r="I12" s="434"/>
      <c r="J12" s="434"/>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9" t="s">
        <v>189</v>
      </c>
      <c r="D14" s="449"/>
      <c r="E14" s="446"/>
      <c r="F14" s="142"/>
      <c r="G14" s="142"/>
      <c r="H14" s="142"/>
      <c r="I14" s="142"/>
      <c r="J14" s="142"/>
      <c r="K14" s="118">
        <f>SUM(F14:J14)</f>
        <v>0</v>
      </c>
      <c r="L14"/>
      <c r="M14"/>
      <c r="U14" s="108"/>
      <c r="V14" s="108"/>
      <c r="W14" s="108"/>
    </row>
    <row r="15" spans="2:23" ht="15">
      <c r="B15" s="101">
        <v>2</v>
      </c>
      <c r="C15" s="449" t="s">
        <v>188</v>
      </c>
      <c r="D15" s="449"/>
      <c r="E15" s="446"/>
      <c r="F15" s="142"/>
      <c r="G15" s="142"/>
      <c r="H15" s="142"/>
      <c r="I15" s="142"/>
      <c r="J15" s="142"/>
      <c r="K15" s="118">
        <f aca="true" t="shared" si="0" ref="K15:K20">SUM(F15:J15)</f>
        <v>0</v>
      </c>
      <c r="L15"/>
      <c r="M15"/>
      <c r="U15" s="108"/>
      <c r="V15" s="108"/>
      <c r="W15" s="108"/>
    </row>
    <row r="16" spans="2:23" ht="15">
      <c r="B16" s="101">
        <v>3</v>
      </c>
      <c r="C16" s="449" t="s">
        <v>123</v>
      </c>
      <c r="D16" s="449"/>
      <c r="E16" s="446"/>
      <c r="F16" s="142"/>
      <c r="G16" s="142"/>
      <c r="H16" s="142"/>
      <c r="I16" s="142"/>
      <c r="J16" s="142"/>
      <c r="K16" s="118">
        <f t="shared" si="0"/>
        <v>0</v>
      </c>
      <c r="L16"/>
      <c r="M16"/>
      <c r="U16" s="108"/>
      <c r="V16" s="108"/>
      <c r="W16" s="108"/>
    </row>
    <row r="17" spans="2:23" ht="15">
      <c r="B17" s="101">
        <v>4</v>
      </c>
      <c r="C17" s="449" t="s">
        <v>122</v>
      </c>
      <c r="D17" s="449"/>
      <c r="E17" s="446"/>
      <c r="F17" s="142"/>
      <c r="G17" s="142"/>
      <c r="H17" s="142"/>
      <c r="I17" s="142"/>
      <c r="J17" s="142"/>
      <c r="K17" s="118">
        <f t="shared" si="0"/>
        <v>0</v>
      </c>
      <c r="L17"/>
      <c r="M17"/>
      <c r="U17" s="108"/>
      <c r="V17" s="108"/>
      <c r="W17" s="108"/>
    </row>
    <row r="18" spans="2:23" ht="15">
      <c r="B18" s="101">
        <v>5</v>
      </c>
      <c r="C18" s="449" t="s">
        <v>239</v>
      </c>
      <c r="D18" s="449"/>
      <c r="E18" s="446"/>
      <c r="F18" s="142">
        <v>198396.8</v>
      </c>
      <c r="G18" s="142"/>
      <c r="H18" s="142"/>
      <c r="I18" s="142"/>
      <c r="J18" s="142"/>
      <c r="K18" s="118">
        <f t="shared" si="0"/>
        <v>198396.8</v>
      </c>
      <c r="L18"/>
      <c r="M18"/>
      <c r="U18" s="108"/>
      <c r="V18" s="108"/>
      <c r="W18" s="108"/>
    </row>
    <row r="19" spans="2:23" ht="15">
      <c r="B19" s="101">
        <v>6</v>
      </c>
      <c r="C19" s="449" t="s">
        <v>240</v>
      </c>
      <c r="D19" s="449"/>
      <c r="E19" s="446"/>
      <c r="F19" s="142">
        <v>557499.48</v>
      </c>
      <c r="G19" s="142"/>
      <c r="H19" s="142"/>
      <c r="I19" s="142"/>
      <c r="J19" s="354"/>
      <c r="K19" s="118">
        <f t="shared" si="0"/>
        <v>557499.48</v>
      </c>
      <c r="L19"/>
      <c r="M19"/>
      <c r="U19" s="108"/>
      <c r="V19" s="108"/>
      <c r="W19" s="108"/>
    </row>
    <row r="20" spans="2:23" ht="15">
      <c r="B20" s="101">
        <v>7</v>
      </c>
      <c r="C20" s="449" t="s">
        <v>175</v>
      </c>
      <c r="D20" s="449"/>
      <c r="E20" s="449"/>
      <c r="F20" s="121">
        <f>SUM(G28:G47)</f>
        <v>4588292.6</v>
      </c>
      <c r="G20" s="121">
        <f>SUM(H28:H47)</f>
        <v>0</v>
      </c>
      <c r="H20" s="122">
        <f aca="true" t="shared" si="1" ref="H20">SUM(I28:I47)</f>
        <v>0</v>
      </c>
      <c r="I20" s="122">
        <f>SUM(J28:J47)</f>
        <v>0</v>
      </c>
      <c r="J20" s="119">
        <f>SUM(K28:K47)</f>
        <v>0</v>
      </c>
      <c r="K20" s="118">
        <f t="shared" si="0"/>
        <v>4588292.6</v>
      </c>
      <c r="L20"/>
      <c r="M20"/>
      <c r="U20" s="108"/>
      <c r="V20" s="108"/>
      <c r="W20" s="108"/>
    </row>
    <row r="21" spans="2:23" ht="30.95" customHeight="1">
      <c r="B21" s="101">
        <v>8</v>
      </c>
      <c r="C21" s="468" t="s">
        <v>20</v>
      </c>
      <c r="D21" s="468"/>
      <c r="E21" s="468"/>
      <c r="F21" s="43">
        <f>SUM(F14:F20)</f>
        <v>5344188.88</v>
      </c>
      <c r="G21" s="43">
        <f>SUM(G14:G20)</f>
        <v>0</v>
      </c>
      <c r="H21" s="7">
        <f aca="true" t="shared" si="2" ref="H21:J21">SUM(H14:H20)</f>
        <v>0</v>
      </c>
      <c r="I21" s="7">
        <f t="shared" si="2"/>
        <v>0</v>
      </c>
      <c r="J21" s="298">
        <f t="shared" si="2"/>
        <v>0</v>
      </c>
      <c r="K21" s="7">
        <f aca="true" t="shared" si="3" ref="K21">SUM(K14:K20)</f>
        <v>5344188.88</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7" t="s">
        <v>224</v>
      </c>
      <c r="E26" s="467"/>
      <c r="F26" s="467"/>
      <c r="G26" s="343" t="s">
        <v>214</v>
      </c>
      <c r="H26" s="467" t="s">
        <v>213</v>
      </c>
      <c r="I26" s="467"/>
      <c r="J26" s="467"/>
      <c r="K26" s="467"/>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f aca="true" t="shared" si="4" ref="C28:C47">IF(L28&lt;&gt;0,VLOOKUP($D$7,Info_County_Code,2,FALSE),"")</f>
        <v>37</v>
      </c>
      <c r="D28" s="363" t="s">
        <v>388</v>
      </c>
      <c r="E28" s="363" t="s">
        <v>493</v>
      </c>
      <c r="F28" s="125" t="s">
        <v>176</v>
      </c>
      <c r="G28" s="117">
        <v>1198930.25</v>
      </c>
      <c r="H28" s="126"/>
      <c r="I28" s="126"/>
      <c r="J28" s="117"/>
      <c r="K28" s="311"/>
      <c r="L28" s="315">
        <f>SUM(G28:K28)</f>
        <v>1198930.25</v>
      </c>
      <c r="M28"/>
      <c r="U28" s="108"/>
      <c r="V28" s="108"/>
      <c r="W28" s="108"/>
    </row>
    <row r="29" spans="2:23" ht="15">
      <c r="B29" s="101">
        <v>2</v>
      </c>
      <c r="C29" s="132">
        <f t="shared" si="4"/>
        <v>37</v>
      </c>
      <c r="D29" s="394" t="s">
        <v>490</v>
      </c>
      <c r="E29" s="395"/>
      <c r="F29" s="125" t="s">
        <v>176</v>
      </c>
      <c r="G29" s="117">
        <v>5338.92</v>
      </c>
      <c r="H29" s="126"/>
      <c r="I29" s="120"/>
      <c r="J29" s="116"/>
      <c r="K29" s="312"/>
      <c r="L29" s="315">
        <f aca="true" t="shared" si="5" ref="L29:L47">SUM(G29:K29)</f>
        <v>5338.92</v>
      </c>
      <c r="M29"/>
      <c r="U29" s="108"/>
      <c r="V29" s="108"/>
      <c r="W29" s="108"/>
    </row>
    <row r="30" spans="2:23" ht="15">
      <c r="B30" s="101">
        <v>3</v>
      </c>
      <c r="C30" s="132">
        <f t="shared" si="4"/>
        <v>37</v>
      </c>
      <c r="D30" s="394" t="s">
        <v>497</v>
      </c>
      <c r="E30" s="363"/>
      <c r="F30" s="415" t="s">
        <v>177</v>
      </c>
      <c r="G30" s="117">
        <v>798493.56</v>
      </c>
      <c r="H30" s="126"/>
      <c r="I30" s="120"/>
      <c r="J30" s="116"/>
      <c r="K30" s="312"/>
      <c r="L30" s="315">
        <f t="shared" si="5"/>
        <v>798493.56</v>
      </c>
      <c r="M30"/>
      <c r="U30" s="108"/>
      <c r="V30" s="108"/>
      <c r="W30" s="108"/>
    </row>
    <row r="31" spans="2:23" ht="15">
      <c r="B31" s="101">
        <v>4</v>
      </c>
      <c r="C31" s="132">
        <f t="shared" si="4"/>
        <v>37</v>
      </c>
      <c r="D31" s="394" t="s">
        <v>491</v>
      </c>
      <c r="E31" s="363" t="s">
        <v>496</v>
      </c>
      <c r="F31" s="415" t="s">
        <v>177</v>
      </c>
      <c r="G31" s="117">
        <v>2399619.6</v>
      </c>
      <c r="H31" s="126"/>
      <c r="I31" s="120"/>
      <c r="J31" s="116"/>
      <c r="K31" s="312"/>
      <c r="L31" s="315">
        <f t="shared" si="5"/>
        <v>2399619.6</v>
      </c>
      <c r="M31"/>
      <c r="U31" s="108"/>
      <c r="V31" s="108"/>
      <c r="W31" s="108"/>
    </row>
    <row r="32" spans="2:23" ht="15">
      <c r="B32" s="101">
        <v>5</v>
      </c>
      <c r="C32" s="132">
        <f t="shared" si="4"/>
        <v>37</v>
      </c>
      <c r="D32" s="394" t="s">
        <v>492</v>
      </c>
      <c r="E32" s="394" t="s">
        <v>494</v>
      </c>
      <c r="F32" s="415" t="s">
        <v>177</v>
      </c>
      <c r="G32" s="117">
        <v>61172.42</v>
      </c>
      <c r="H32" s="126"/>
      <c r="I32" s="120"/>
      <c r="J32" s="116"/>
      <c r="K32" s="312"/>
      <c r="L32" s="315">
        <f t="shared" si="5"/>
        <v>61172.42</v>
      </c>
      <c r="M32"/>
      <c r="U32" s="108"/>
      <c r="V32" s="108"/>
      <c r="W32" s="108"/>
    </row>
    <row r="33" spans="2:23" ht="15">
      <c r="B33" s="101">
        <v>6</v>
      </c>
      <c r="C33" s="132">
        <f t="shared" si="4"/>
        <v>37</v>
      </c>
      <c r="D33" s="394" t="s">
        <v>425</v>
      </c>
      <c r="E33" s="394" t="s">
        <v>495</v>
      </c>
      <c r="F33" s="415" t="s">
        <v>177</v>
      </c>
      <c r="G33" s="117">
        <v>124737.85</v>
      </c>
      <c r="H33" s="126"/>
      <c r="I33" s="120"/>
      <c r="J33" s="116"/>
      <c r="K33" s="312"/>
      <c r="L33" s="315">
        <f t="shared" si="5"/>
        <v>124737.85</v>
      </c>
      <c r="M33"/>
      <c r="U33" s="108"/>
      <c r="V33" s="108"/>
      <c r="W33" s="108"/>
    </row>
    <row r="34" spans="2:23" ht="15">
      <c r="B34" s="101">
        <v>7</v>
      </c>
      <c r="C34" s="132" t="str">
        <f t="shared" si="4"/>
        <v/>
      </c>
      <c r="D34" s="395"/>
      <c r="E34" s="395"/>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2018-12-25T00:28:07Z</cp:lastPrinted>
  <dcterms:created xsi:type="dcterms:W3CDTF">2017-07-05T19:48:18Z</dcterms:created>
  <dcterms:modified xsi:type="dcterms:W3CDTF">2019-05-21T21:22:29Z</dcterms:modified>
  <cp:category/>
  <cp:version/>
  <cp:contentType/>
  <cp:contentStatus/>
</cp:coreProperties>
</file>