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19200" windowHeight="10860" tabRatio="584" firstSheet="1" activeTab="5"/>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<sst xmlns="http://schemas.openxmlformats.org/spreadsheetml/2006/main" count="869" uniqueCount="394">
  <si>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</si>
  <si>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</si>
  <si>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</si>
  <si>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</si>
  <si>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</si>
  <si>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</si>
  <si>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</si>
  <si>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</si>
  <si>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</si>
  <si>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</si>
  <si>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</si>
  <si>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</si>
  <si>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</si>
  <si>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</si>
  <si>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</si>
  <si>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</si>
  <si>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</si>
  <si>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</si>
  <si>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</si>
  <si>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</si>
  <si>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</si>
  <si>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</si>
  <si>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</si>
  <si>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</si>
  <si>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</si>
  <si>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</si>
  <si>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</si>
  <si>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</si>
  <si>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</si>
  <si>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</si>
  <si>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</si>
  <si>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</si>
  <si>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</si>
  <si>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</si>
  <si>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</si>
  <si>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</si>
  <si>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</si>
  <si>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</si>
  <si>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</si>
  <si>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</si>
  <si>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</si>
  <si>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</si>
  <si>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</si>
  <si>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</si>
  <si>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</si>
  <si>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</si>
  <si>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</si>
  <si>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</si>
  <si>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</si>
  <si>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</si>
  <si>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</si>
  <si>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</si>
  <si>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</si>
  <si>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</si>
  <si>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</si>
  <si>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</si>
  <si>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</si>
  <si>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</si>
  <si>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</si>
  <si>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</si>
  <si>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</si>
  <si>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</si>
  <si>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</si>
  <si>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</si>
  <si>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</si>
  <si>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</si>
  <si>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</si>
  <si>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</si>
  <si>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</si>
  <si>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</si>
  <si>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</si>
  <si>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</si>
  <si>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</si>
  <si>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</si>
  <si>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</si>
  <si>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</si>
  <si>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</si>
  <si>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</si>
  <si>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</si>
  <si>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</si>
  <si>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</si>
  <si>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</si>
  <si>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</si>
  <si>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</si>
  <si>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</si>
  <si>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</si>
  <si>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</si>
  <si>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</si>
  <si>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</si>
  <si>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</si>
  <si>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</si>
  <si>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</si>
  <si>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</si>
  <si>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</si>
  <si>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</si>
  <si>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</si>
  <si>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</si>
  <si>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</si>
  <si>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</si>
  <si>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</si>
  <si>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</si>
  <si>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</si>
  <si>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</si>
  <si>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</si>
  <si>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</si>
  <si>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</si>
  <si>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</si>
  <si>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</si>
  <si>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</si>
  <si>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</si>
  <si>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</si>
  <si>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</si>
  <si>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</si>
  <si>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</si>
  <si>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</si>
  <si>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</si>
  <si>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</si>
  <si>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</si>
  <si>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</si>
  <si>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</si>
  <si>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</si>
  <si>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</si>
  <si>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</si>
  <si>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</si>
  <si>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</si>
  <si>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</si>
  <si>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</si>
  <si>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</si>
  <si>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</si>
  <si>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</si>
  <si>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</si>
  <si>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</si>
  <si>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</si>
  <si>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</si>
  <si>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</si>
  <si>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</si>
  <si>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</si>
  <si>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</si>
  <si>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</si>
  <si>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</si>
  <si>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</si>
  <si>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</si>
  <si>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</si>
  <si>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</si>
  <si>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</si>
  <si>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</si>
  <si>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</si>
  <si>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</si>
  <si>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</si>
  <si>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</si>
  <si>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</si>
  <si>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</si>
  <si>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</si>
  <si>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</si>
  <si>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</si>
  <si>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</si>
  <si>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</si>
  <si>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</si>
  <si>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</si>
  <si>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</si>
  <si>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</si>
  <si>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</si>
  <si>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</si>
  <si>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</si>
  <si>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</si>
  <si>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</si>
  <si>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</si>
  <si>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</si>
  <si>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</si>
  <si>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</si>
  <si>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</si>
  <si>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</si>
  <si>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</si>
  <si>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</si>
  <si>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</si>
  <si>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</si>
  <si>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</si>
  <si>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</si>
  <si>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</si>
  <si>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</si>
  <si>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</si>
  <si>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</si>
  <si>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</si>
  <si>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</si>
  <si>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</si>
  <si>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</si>
  <si>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</si>
  <si>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</si>
  <si>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</si>
  <si>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</si>
  <si>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</si>
  <si>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</si>
  <si>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</si>
  <si>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</si>
  <si>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</si>
  <si>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</si>
  <si>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</si>
  <si>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</si>
  <si>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</si>
  <si>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</si>
  <si>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</si>
  <si>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</si>
  <si>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</si>
  <si>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</si>
  <si>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</si>
  <si>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</si>
  <si>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</si>
  <si>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</si>
  <si>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</si>
  <si>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</si>
  <si>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</si>
  <si>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</si>
  <si>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</si>
  <si>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</si>
  <si>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</si>
  <si>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</si>
  <si>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</si>
  <si>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</si>
  <si>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</si>
  <si>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</si>
  <si>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</si>
  <si>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</si>
  <si>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</si>
  <si>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</si>
  <si>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</si>
  <si>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</si>
  <si>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</si>
  <si>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</si>
  <si>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</si>
  <si>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</si>
  <si>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</si>
  <si>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</si>
  <si>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</si>
  <si>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</si>
  <si>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</si>
  <si>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</si>
  <si>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</si>
  <si>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</si>
  <si>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</si>
  <si>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</si>
  <si>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</si>
  <si>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</si>
  <si>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</si>
  <si>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</si>
  <si>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</si>
  <si>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</si>
  <si>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</si>
  <si>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</si>
  <si>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</si>
  <si>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</si>
  <si>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</si>
  <si>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</si>
  <si>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</si>
  <si>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</si>
  <si>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</si>
  <si>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</si>
  <si>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</si>
  <si>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</si>
  <si>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</si>
  <si>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</si>
  <si>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</si>
  <si>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</si>
  <si>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</si>
  <si>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</si>
  <si>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</si>
  <si>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</si>
  <si>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</si>
  <si>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</si>
  <si>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</si>
  <si>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</si>
  <si>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</si>
  <si>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</si>
  <si>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</si>
  <si>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</si>
  <si>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</si>
  <si>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</si>
  <si>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</si>
  <si>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</si>
  <si>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</si>
  <si>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</si>
  <si>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</si>
  <si>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</si>
  <si>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</si>
  <si>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</si>
  <si>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</si>
  <si>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</si>
  <si>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</si>
  <si>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</si>
  <si>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</si>
  <si>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</si>
  <si>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</si>
  <si>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</si>
  <si>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</si>
  <si>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</si>
  <si>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</si>
  <si>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</si>
  <si>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</si>
  <si>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</si>
  <si>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</si>
  <si>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</si>
  <si>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</si>
  <si>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</si>
  <si>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</si>
  <si>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</si>
  <si>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</si>
  <si>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</si>
  <si>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</si>
  <si>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</si>
  <si>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</si>
  <si>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</si>
  <si>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</si>
  <si>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</si>
  <si>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</si>
  <si>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</si>
  <si>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</si>
  <si>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</si>
  <si>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</si>
  <si>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</si>
  <si>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</si>
  <si>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</si>
  <si>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</si>
  <si>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</si>
  <si>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Tamara DeFehr</t>
  </si>
  <si>
    <t>MHSA Financial Analyst</t>
  </si>
  <si>
    <t>559-600-9953</t>
  </si>
  <si>
    <t>tdefehr@fresnocountyca.gov</t>
  </si>
  <si>
    <t>1925 East Dakota Avenue</t>
  </si>
  <si>
    <t>Children Welfare Mental Health</t>
  </si>
  <si>
    <t>Integrated MH Inf System</t>
  </si>
  <si>
    <t>Information Technology - Avatar</t>
  </si>
  <si>
    <t>Perinatal Wellness Center</t>
  </si>
  <si>
    <t>Perinatal</t>
  </si>
  <si>
    <t>Children/Youth/Family Prevention and Early Interventions</t>
  </si>
  <si>
    <t>Community Gardens</t>
  </si>
  <si>
    <t>Community Garden</t>
  </si>
  <si>
    <t>Community Response/Law Enforcement</t>
  </si>
  <si>
    <t>Children Welfare Mental Health Team/Katie A Team</t>
  </si>
  <si>
    <t>Cultural-Based Access Navigation and Peer/Family Support Services (CBANS)</t>
  </si>
  <si>
    <t>Functional Family Therapy</t>
  </si>
  <si>
    <t>Functional Family Therapy MH</t>
  </si>
  <si>
    <t>Multi-Agency Access Point (MAP)</t>
  </si>
  <si>
    <t>Holistic Cultural Education and Wellness Center</t>
  </si>
  <si>
    <t>Blue Sky Wellness Center</t>
  </si>
  <si>
    <t>Youth Empowerment Centers (YEC)</t>
  </si>
  <si>
    <t>Integrated Mental Health Services at Primary Care Clinics</t>
  </si>
  <si>
    <t>Children ACT</t>
  </si>
  <si>
    <t>Children &amp; Youth Juvenile Justice Services - ACT</t>
  </si>
  <si>
    <t>Community Integration FSP</t>
  </si>
  <si>
    <t>AB 109 Full Service Partnership (FSP) Enhance BHCC</t>
  </si>
  <si>
    <t>Co-Occuring FSP</t>
  </si>
  <si>
    <t>Co-Occuring Disorders Full Service Partnership</t>
  </si>
  <si>
    <t>Enhanced Rural Services FSP</t>
  </si>
  <si>
    <t xml:space="preserve">Enhanced Rural Services-Full Services Partnership (FSP) </t>
  </si>
  <si>
    <t>SMART Model of Care</t>
  </si>
  <si>
    <t xml:space="preserve">Children Full Service Partnership (FSP) SP 0-10 Years </t>
  </si>
  <si>
    <t>TAY Services and Support</t>
  </si>
  <si>
    <t xml:space="preserve">Transitional Age Youth (TAY) Services &amp; Supports Full Service Partnership (FSP) </t>
  </si>
  <si>
    <t>Turning Point - VISTA</t>
  </si>
  <si>
    <t>Vista</t>
  </si>
  <si>
    <t>Children's Outpatient Expantion</t>
  </si>
  <si>
    <t>Children's Expansion of Outpatient Services</t>
  </si>
  <si>
    <t>Children's Triage-Screening</t>
  </si>
  <si>
    <t>Youth Wellness Center</t>
  </si>
  <si>
    <t>Cultural Specific Services</t>
  </si>
  <si>
    <t>DOR and PATH Expansion</t>
  </si>
  <si>
    <t>Supported Education and Employment Services (SEES)</t>
  </si>
  <si>
    <t>Enhanced Peer Support</t>
  </si>
  <si>
    <t>Peer and Recovery Services</t>
  </si>
  <si>
    <t>Enhanced Rural Services-Intensive Care</t>
  </si>
  <si>
    <t>Enhanced Rural Services - Outpatient/Intense Case Management</t>
  </si>
  <si>
    <t>Indigent Medications Expansion</t>
  </si>
  <si>
    <t>Medications Expansion</t>
  </si>
  <si>
    <t>MHSA Adult Act</t>
  </si>
  <si>
    <t>Recovery with Inspiration, Support and Empowerment (RISE)</t>
  </si>
  <si>
    <t>Housing Supportive Services</t>
  </si>
  <si>
    <t>MHSA FSP Coordinator</t>
  </si>
  <si>
    <t>Older Adult Team</t>
  </si>
  <si>
    <t>School Based Services Expansion</t>
  </si>
  <si>
    <t>School Base Services</t>
  </si>
  <si>
    <t>Urgent Care/Wellness Center</t>
  </si>
  <si>
    <t>Urgent Care Wellness Center (UCWC)</t>
  </si>
  <si>
    <t>Collabarative Treatment Courts</t>
  </si>
  <si>
    <t>Consumer/Family Advocate Services</t>
  </si>
  <si>
    <t>Supervised Overnight Stay</t>
  </si>
  <si>
    <t>AB 109 - Outpatient Mental Health &amp; Substance Services</t>
  </si>
  <si>
    <t>Theraputic Childcare</t>
  </si>
  <si>
    <t>Transitional Age Youth (TAY) - Department of Behavioral Health</t>
  </si>
  <si>
    <t>New Starts Program</t>
  </si>
  <si>
    <t>Family Advocate Position</t>
  </si>
  <si>
    <t>Costs should have been billed to WET per contract</t>
  </si>
  <si>
    <t>Costs were inadvertently recorded within PEI</t>
  </si>
  <si>
    <t>Enhanced Peer Support incorrectly reorded as INN</t>
  </si>
  <si>
    <t>Enhanced Peer Support should have been CSS</t>
  </si>
  <si>
    <t>Incorrectly charged to MHSA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</si>
</sst>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0">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0" fontId="0" fillId="0" borderId="0" xfId="0" applyProtection="1">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6"/>
  <sheetViews>
    <sheetView showGridLines="0" zoomScale="70" zoomScaleNormal="70" zoomScaleSheetLayoutView="55" workbookViewId="0" topLeftCell="A1">
      <selection activeCell="D27" sqref="D27"/>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58"/>
      <c r="C1" s="458"/>
      <c r="D1" s="458"/>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46" t="s">
        <v>1</v>
      </c>
      <c r="C7" s="446"/>
      <c r="D7" s="9" t="str">
        <f>IF(ISBLANK('1. Information'!D8),"",'1. Information'!D8)</f>
        <v>Fresno</v>
      </c>
      <c r="F7" s="94" t="s">
        <v>2</v>
      </c>
      <c r="G7" s="109">
        <f>IF(ISBLANK('1. Information'!D7),"",'1. Information'!D7)</f>
        <v>43461</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57" t="s">
        <v>30</v>
      </c>
      <c r="G12" s="457"/>
      <c r="H12" s="457"/>
      <c r="I12" s="457"/>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t="str">
        <f>IF(J15&lt;&gt;0,VLOOKUP($D$7,Info_County_Code,2,FALSE),"")</f>
        <v/>
      </c>
      <c r="D15" s="84" t="s">
        <v>121</v>
      </c>
      <c r="E15" s="116"/>
      <c r="F15" s="120"/>
      <c r="G15" s="116"/>
      <c r="H15" s="116"/>
      <c r="I15" s="313"/>
      <c r="J15" s="316">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1.12364583333333" bottom="0.75" header="0.3" footer="0.3"/>
  <pageSetup fitToHeight="1" fitToWidth="1" horizontalDpi="600" verticalDpi="600" orientation="landscape" paperSize="5" scale="91" r:id="rId1"/>
  <headerFooter>
    <oddFooter>&amp;C&amp;"Arial,Regular"&amp;14Page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12"/>
  <sheetViews>
    <sheetView showGridLines="0" zoomScale="70" zoomScaleNormal="70" zoomScaleSheetLayoutView="55" workbookViewId="0" topLeftCell="A1">
      <selection activeCell="I16" sqref="I16"/>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46" t="s">
        <v>1</v>
      </c>
      <c r="C7" s="446"/>
      <c r="D7" s="9" t="str">
        <f>IF(ISBLANK('1. Information'!D8),"",'1. Information'!D8)</f>
        <v>Fresno</v>
      </c>
      <c r="E7" s="3"/>
      <c r="F7" s="97" t="s">
        <v>178</v>
      </c>
      <c r="G7" s="109">
        <f>IF(ISBLANK('1. Information'!D7),"",'1. Information'!D7)</f>
        <v>43461</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f aca="true" t="shared" si="0" ref="C13:C42">IF(F13&lt;&gt;0,VLOOKUP($D$7,Info_County_Code,2,FALSE),"")</f>
        <v>10</v>
      </c>
      <c r="D13" s="149" t="s">
        <v>35</v>
      </c>
      <c r="E13" s="337" t="s">
        <v>290</v>
      </c>
      <c r="F13" s="336">
        <v>-309187.79</v>
      </c>
      <c r="G13" s="364" t="s">
        <v>389</v>
      </c>
    </row>
    <row r="14" spans="2:7" ht="15">
      <c r="B14" s="101">
        <v>2</v>
      </c>
      <c r="C14" s="132">
        <f t="shared" si="0"/>
        <v>10</v>
      </c>
      <c r="D14" s="379" t="s">
        <v>37</v>
      </c>
      <c r="E14" s="133" t="s">
        <v>290</v>
      </c>
      <c r="F14" s="150">
        <v>309187.79</v>
      </c>
      <c r="G14" s="364" t="s">
        <v>390</v>
      </c>
    </row>
    <row r="15" spans="2:7" ht="15">
      <c r="B15" s="101">
        <v>3</v>
      </c>
      <c r="C15" s="132">
        <f t="shared" si="0"/>
        <v>10</v>
      </c>
      <c r="D15" s="379" t="s">
        <v>36</v>
      </c>
      <c r="E15" s="133" t="s">
        <v>291</v>
      </c>
      <c r="F15" s="150">
        <v>-56404</v>
      </c>
      <c r="G15" s="364" t="s">
        <v>392</v>
      </c>
    </row>
    <row r="16" spans="2:7" ht="15">
      <c r="B16" s="101">
        <v>4</v>
      </c>
      <c r="C16" s="132">
        <f t="shared" si="0"/>
        <v>10</v>
      </c>
      <c r="D16" s="149" t="s">
        <v>34</v>
      </c>
      <c r="E16" s="133" t="s">
        <v>291</v>
      </c>
      <c r="F16" s="150">
        <v>56404</v>
      </c>
      <c r="G16" s="364" t="s">
        <v>391</v>
      </c>
    </row>
    <row r="17" spans="2:7" ht="15">
      <c r="B17" s="101">
        <v>5</v>
      </c>
      <c r="C17" s="132">
        <f t="shared" si="0"/>
        <v>10</v>
      </c>
      <c r="D17" s="379" t="s">
        <v>36</v>
      </c>
      <c r="E17" s="133" t="s">
        <v>290</v>
      </c>
      <c r="F17" s="152">
        <v>-52541.18</v>
      </c>
      <c r="G17" s="364" t="s">
        <v>392</v>
      </c>
    </row>
    <row r="18" spans="2:7" ht="15">
      <c r="B18" s="101">
        <v>6</v>
      </c>
      <c r="C18" s="132">
        <f t="shared" si="0"/>
        <v>10</v>
      </c>
      <c r="D18" s="379" t="s">
        <v>34</v>
      </c>
      <c r="E18" s="133" t="s">
        <v>290</v>
      </c>
      <c r="F18" s="152">
        <v>52541.18</v>
      </c>
      <c r="G18" s="364" t="s">
        <v>391</v>
      </c>
    </row>
    <row r="19" spans="2:7" ht="15">
      <c r="B19" s="101">
        <v>7</v>
      </c>
      <c r="C19" s="132">
        <f t="shared" si="0"/>
        <v>10</v>
      </c>
      <c r="D19" s="149" t="s">
        <v>36</v>
      </c>
      <c r="E19" s="133" t="s">
        <v>290</v>
      </c>
      <c r="F19" s="152">
        <v>-219779.09</v>
      </c>
      <c r="G19" s="364" t="s">
        <v>393</v>
      </c>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286</v>
      </c>
      <c r="E48" s="337"/>
      <c r="F48" s="150"/>
      <c r="G48" s="364"/>
    </row>
    <row r="49" spans="2:7" ht="15">
      <c r="B49" s="101">
        <v>2</v>
      </c>
      <c r="C49" s="132" t="str">
        <f t="shared" si="1"/>
        <v/>
      </c>
      <c r="D49" s="335" t="s">
        <v>286</v>
      </c>
      <c r="E49" s="133"/>
      <c r="F49" s="150"/>
      <c r="G49" s="364"/>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1.12364583333333" bottom="0.75" header="0.3" footer="0.3"/>
  <pageSetup fitToHeight="1" fitToWidth="1" horizontalDpi="600" verticalDpi="600" orientation="landscape" paperSize="5" scale="28" r:id="rId1"/>
  <headerFooter>
    <oddFooter>&amp;C&amp;"Arial,Regular"&amp;14Page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2"/>
  <sheetViews>
    <sheetView showGridLines="0" zoomScale="85" zoomScaleNormal="85" zoomScaleSheetLayoutView="55" workbookViewId="0" topLeftCell="A1">
      <selection activeCell="D13" sqref="D13"/>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8"/>
      <c r="C1" s="458"/>
      <c r="D1" s="458"/>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46" t="s">
        <v>1</v>
      </c>
      <c r="C7" s="446"/>
      <c r="D7" s="9" t="str">
        <f>IF(ISBLANK('1. Information'!D8),"",'1. Information'!D8)</f>
        <v>Fresno</v>
      </c>
      <c r="F7" s="94" t="s">
        <v>2</v>
      </c>
      <c r="G7" s="38">
        <f>IF(ISBLANK('1. Information'!D7),"",'1. Information'!D7)</f>
        <v>43461</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t="str">
        <f aca="true" t="shared" si="0" ref="C13:C52">IF(I13&lt;&gt;0,VLOOKUP($D$7,Info_County_Code,2,FALSE),"")</f>
        <v/>
      </c>
      <c r="D13" s="379"/>
      <c r="E13" s="149"/>
      <c r="F13" s="390"/>
      <c r="G13" s="92"/>
      <c r="H13" s="92"/>
      <c r="I13" s="91">
        <f>SUM(G13:H13)</f>
        <v>0</v>
      </c>
    </row>
    <row r="14" spans="2:9" ht="15">
      <c r="B14" s="101">
        <v>2</v>
      </c>
      <c r="C14" s="132" t="str">
        <f t="shared" si="0"/>
        <v/>
      </c>
      <c r="D14" s="379"/>
      <c r="E14" s="149"/>
      <c r="F14" s="390"/>
      <c r="G14" s="92"/>
      <c r="H14" s="92"/>
      <c r="I14" s="91">
        <f aca="true" t="shared" si="1" ref="I14:I52">SUM(G14:H14)</f>
        <v>0</v>
      </c>
    </row>
    <row r="15" spans="2:9" ht="15">
      <c r="B15" s="101">
        <v>3</v>
      </c>
      <c r="C15" s="132" t="str">
        <f t="shared" si="0"/>
        <v/>
      </c>
      <c r="D15" s="379"/>
      <c r="E15" s="149"/>
      <c r="F15" s="390"/>
      <c r="G15" s="92"/>
      <c r="H15" s="92"/>
      <c r="I15" s="91">
        <f t="shared" si="1"/>
        <v>0</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1.12364583333333" bottom="0.75" header="0.3" footer="0.3"/>
  <pageSetup fitToHeight="1" fitToWidth="1" horizontalDpi="600" verticalDpi="600" orientation="landscape" paperSize="5" scale="61" r:id="rId1"/>
  <headerFooter>
    <oddFooter>&amp;C&amp;"Arial,Regular"&amp;14Page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8"/>
  <sheetViews>
    <sheetView showGridLines="0" zoomScale="85" zoomScaleNormal="85" zoomScaleSheetLayoutView="55" workbookViewId="0" topLeftCell="A1">
      <selection activeCell="D27" sqref="D27"/>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33.75" customHeight="1">
      <c r="B8" s="248">
        <v>1</v>
      </c>
      <c r="C8" s="253"/>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25" right="0.25" top="1.12364583333333" bottom="0.75" header="0.3" footer="0.3"/>
  <pageSetup fitToHeight="1" fitToWidth="1" horizontalDpi="600" verticalDpi="600" orientation="landscape" paperSize="5" scale="34" r:id="rId1"/>
  <headerFooter>
    <oddFooter>&amp;C&amp;"Arial,Regular"&amp;14Page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6" t="s">
        <v>169</v>
      </c>
      <c r="B1" s="467"/>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69" t="s">
        <v>198</v>
      </c>
      <c r="B2" s="469"/>
      <c r="C2" s="469"/>
      <c r="D2" s="469"/>
      <c r="E2" s="469"/>
    </row>
    <row r="3" spans="1:5" ht="14.25" customHeight="1">
      <c r="A3" s="469" t="s">
        <v>307</v>
      </c>
      <c r="B3" s="469"/>
      <c r="C3" s="469"/>
      <c r="D3" s="469"/>
      <c r="E3" s="469"/>
    </row>
    <row r="4" spans="1:4" ht="14.25" customHeight="1" thickBot="1">
      <c r="A4" s="173"/>
      <c r="B4" s="174"/>
      <c r="C4" s="175"/>
      <c r="D4" s="176"/>
    </row>
    <row r="5" spans="1:5" ht="14.25" customHeight="1">
      <c r="A5" s="177" t="s">
        <v>199</v>
      </c>
      <c r="B5" s="468" t="s">
        <v>200</v>
      </c>
      <c r="C5" s="468"/>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7">
      <selection activeCell="Q1" sqref="Q1:XFD1048576"/>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7" t="s">
        <v>280</v>
      </c>
      <c r="C7" s="425"/>
      <c r="F7" s="224"/>
    </row>
    <row r="8" spans="2:7" ht="55.5" customHeight="1">
      <c r="B8" s="428" t="s">
        <v>281</v>
      </c>
      <c r="C8" s="429"/>
      <c r="F8" s="222"/>
      <c r="G8" s="224"/>
    </row>
    <row r="9" spans="2:6" ht="39.95" customHeight="1">
      <c r="B9" s="428" t="s">
        <v>279</v>
      </c>
      <c r="C9" s="429"/>
      <c r="E9" s="222"/>
      <c r="F9" s="223"/>
    </row>
    <row r="10" spans="2:4" ht="39.95" customHeight="1">
      <c r="B10" s="429" t="s">
        <v>264</v>
      </c>
      <c r="C10" s="429"/>
      <c r="D10" s="221"/>
    </row>
    <row r="11" ht="15"/>
    <row r="12" spans="2:3" ht="29.25" customHeight="1">
      <c r="B12" s="425" t="s">
        <v>266</v>
      </c>
      <c r="C12" s="426" t="s">
        <v>272</v>
      </c>
    </row>
    <row r="13" spans="2:3" ht="18" customHeight="1">
      <c r="B13" s="425"/>
      <c r="C13" s="425"/>
    </row>
    <row r="14" spans="2:3" ht="60.75" customHeight="1">
      <c r="B14" s="422" t="s">
        <v>267</v>
      </c>
      <c r="C14" s="381" t="s">
        <v>311</v>
      </c>
    </row>
    <row r="15" spans="2:3" ht="68.25" customHeight="1">
      <c r="B15" s="423"/>
      <c r="C15" s="382" t="s">
        <v>321</v>
      </c>
    </row>
    <row r="16" spans="2:3" ht="66" customHeight="1">
      <c r="B16" s="424"/>
      <c r="C16" s="381"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7" sqref="D7"/>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1"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v>43461</v>
      </c>
    </row>
    <row r="8" spans="1:4" ht="34.5" customHeight="1">
      <c r="A8" s="99"/>
      <c r="B8" s="130">
        <v>2</v>
      </c>
      <c r="C8" s="102" t="s">
        <v>1</v>
      </c>
      <c r="D8" s="365" t="s">
        <v>52</v>
      </c>
    </row>
    <row r="9" spans="1:4" ht="34.5" customHeight="1">
      <c r="A9" s="99"/>
      <c r="B9" s="130">
        <v>3</v>
      </c>
      <c r="C9" s="103" t="s">
        <v>125</v>
      </c>
      <c r="D9" s="104">
        <f>IF(ISBLANK(D8),"",VLOOKUP(D8,Info_County_Code,2))</f>
        <v>10</v>
      </c>
    </row>
    <row r="10" spans="1:4" ht="34.5" customHeight="1">
      <c r="A10" s="99"/>
      <c r="B10" s="130">
        <v>4</v>
      </c>
      <c r="C10" s="102" t="s">
        <v>126</v>
      </c>
      <c r="D10" s="418" t="s">
        <v>326</v>
      </c>
    </row>
    <row r="11" spans="1:4" ht="34.5" customHeight="1">
      <c r="A11" s="99"/>
      <c r="B11" s="130">
        <v>5</v>
      </c>
      <c r="C11" s="102" t="s">
        <v>127</v>
      </c>
      <c r="D11" s="365" t="s">
        <v>52</v>
      </c>
    </row>
    <row r="12" spans="1:4" ht="34.5" customHeight="1">
      <c r="A12" s="99"/>
      <c r="B12" s="130">
        <v>6</v>
      </c>
      <c r="C12" s="102" t="s">
        <v>128</v>
      </c>
      <c r="D12" s="244">
        <v>93726</v>
      </c>
    </row>
    <row r="13" spans="1:4" ht="34.5" customHeight="1">
      <c r="A13" s="99"/>
      <c r="B13" s="130">
        <v>7</v>
      </c>
      <c r="C13" s="105" t="s">
        <v>185</v>
      </c>
      <c r="D13" s="106" t="str">
        <f>IF(ISBLANK(D8),"",VLOOKUP(D8,County_Population,5,FALSE))</f>
        <v>Yes</v>
      </c>
    </row>
    <row r="14" spans="1:4" ht="34.5" customHeight="1">
      <c r="A14" s="99"/>
      <c r="B14" s="130">
        <v>8</v>
      </c>
      <c r="C14" s="102" t="s">
        <v>124</v>
      </c>
      <c r="D14" s="365" t="s">
        <v>322</v>
      </c>
    </row>
    <row r="15" spans="1:4" ht="34.5" customHeight="1">
      <c r="A15" s="99"/>
      <c r="B15" s="130">
        <v>9</v>
      </c>
      <c r="C15" s="383" t="s">
        <v>193</v>
      </c>
      <c r="D15" s="419" t="s">
        <v>323</v>
      </c>
    </row>
    <row r="16" spans="1:4" ht="34.5" customHeight="1">
      <c r="A16" s="99"/>
      <c r="B16" s="130">
        <v>10</v>
      </c>
      <c r="C16" s="383" t="s">
        <v>211</v>
      </c>
      <c r="D16" s="419" t="s">
        <v>325</v>
      </c>
    </row>
    <row r="17" spans="1:4" ht="34.5" customHeight="1">
      <c r="A17" s="99"/>
      <c r="B17" s="130">
        <v>11</v>
      </c>
      <c r="C17" s="102" t="s">
        <v>194</v>
      </c>
      <c r="D17" s="420" t="s">
        <v>324</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41"/>
  <sheetViews>
    <sheetView showGridLines="0" zoomScale="70" zoomScaleNormal="70" zoomScaleSheetLayoutView="55" workbookViewId="0" topLeftCell="A1">
      <pane xSplit="3" ySplit="20" topLeftCell="D33" activePane="bottomRight" state="frozen"/>
      <selection pane="topLeft" activeCell="D27" sqref="D27"/>
      <selection pane="topRight" activeCell="D27" sqref="D27"/>
      <selection pane="bottomLeft" activeCell="D27" sqref="D27"/>
      <selection pane="bottomRight" activeCell="N35" sqref="N35"/>
    </sheetView>
  </sheetViews>
  <sheetFormatPr defaultColWidth="9.140625" defaultRowHeight="15" zeroHeight="1"/>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1" ht="15"/>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Fresno</v>
      </c>
      <c r="F7" s="360" t="s">
        <v>2</v>
      </c>
      <c r="G7" s="259">
        <f>IF(ISBLANK('1. Information'!D7),"",'1. Information'!D7)</f>
        <v>43461</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v>1928131.88</v>
      </c>
      <c r="E15" s="260"/>
      <c r="F15" s="260"/>
      <c r="G15" s="90"/>
      <c r="H15" s="260"/>
      <c r="I15" s="260"/>
      <c r="J15" s="260"/>
      <c r="K15" s="260"/>
      <c r="L15" s="260"/>
      <c r="M15" s="260"/>
      <c r="N15" s="260"/>
    </row>
    <row r="16" spans="2:14" ht="15">
      <c r="B16" s="24">
        <v>2</v>
      </c>
      <c r="C16" s="332" t="s">
        <v>306</v>
      </c>
      <c r="D16" s="394">
        <v>19490383.04</v>
      </c>
      <c r="E16" s="260"/>
      <c r="F16" s="260"/>
      <c r="G16" s="90"/>
      <c r="H16" s="260"/>
      <c r="I16" s="260"/>
      <c r="J16" s="260"/>
      <c r="K16" s="260"/>
      <c r="L16" s="260"/>
      <c r="M16" s="260"/>
      <c r="N16" s="260"/>
    </row>
    <row r="17" spans="2:14" ht="15">
      <c r="B17" s="24">
        <v>3</v>
      </c>
      <c r="C17" s="332" t="s">
        <v>312</v>
      </c>
      <c r="D17" s="91">
        <f>D16+M22+M27+SUM('9. Adjustment (MHSA)'!F83:F112)</f>
        <v>19490383.04</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v>0</v>
      </c>
      <c r="E22" s="92">
        <v>0</v>
      </c>
      <c r="F22" s="91"/>
      <c r="G22" s="327"/>
      <c r="H22" s="327"/>
      <c r="I22" s="334"/>
      <c r="J22" s="327"/>
      <c r="K22" s="334"/>
      <c r="L22" s="334"/>
      <c r="M22" s="264">
        <f>(-D22-E22)</f>
        <v>0</v>
      </c>
      <c r="N22" s="333">
        <f>SUM(D22:M22)</f>
        <v>0</v>
      </c>
    </row>
    <row r="23" spans="2:14" ht="24" customHeight="1">
      <c r="B23" s="24">
        <v>5</v>
      </c>
      <c r="C23" s="332" t="s">
        <v>277</v>
      </c>
      <c r="D23" s="264">
        <f>D15*0.76</f>
        <v>1465380.2288</v>
      </c>
      <c r="E23" s="380">
        <f>D15*0.19</f>
        <v>366345.0572</v>
      </c>
      <c r="F23" s="261">
        <f>D15*0.05</f>
        <v>96406.594</v>
      </c>
      <c r="G23" s="327"/>
      <c r="H23" s="327"/>
      <c r="I23" s="327"/>
      <c r="J23" s="334"/>
      <c r="K23" s="327"/>
      <c r="L23" s="327"/>
      <c r="M23" s="327"/>
      <c r="N23" s="333">
        <f>SUM(D23:M23)</f>
        <v>1928131.88</v>
      </c>
    </row>
    <row r="24" spans="2:14" ht="24" customHeight="1">
      <c r="B24" s="24">
        <v>6</v>
      </c>
      <c r="C24" s="266" t="s">
        <v>25</v>
      </c>
      <c r="D24" s="339">
        <f aca="true" t="shared" si="0" ref="D24:L24">SUM(D22:D23)</f>
        <v>1465380.2288</v>
      </c>
      <c r="E24" s="339">
        <f t="shared" si="0"/>
        <v>366345.0572</v>
      </c>
      <c r="F24" s="339">
        <f t="shared" si="0"/>
        <v>96406.594</v>
      </c>
      <c r="G24" s="339">
        <f t="shared" si="0"/>
        <v>0</v>
      </c>
      <c r="H24" s="339">
        <f t="shared" si="0"/>
        <v>0</v>
      </c>
      <c r="I24" s="339">
        <f t="shared" si="0"/>
        <v>0</v>
      </c>
      <c r="J24" s="339">
        <f t="shared" si="0"/>
        <v>0</v>
      </c>
      <c r="K24" s="339">
        <f t="shared" si="0"/>
        <v>0</v>
      </c>
      <c r="L24" s="339">
        <f t="shared" si="0"/>
        <v>0</v>
      </c>
      <c r="M24" s="339">
        <v>0</v>
      </c>
      <c r="N24" s="371">
        <f>SUM(D24:M24)</f>
        <v>1928131.88</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-8003176</v>
      </c>
      <c r="E27" s="334"/>
      <c r="F27" s="334"/>
      <c r="G27" s="264">
        <f>'3. CSS'!F20</f>
        <v>0</v>
      </c>
      <c r="H27" s="264">
        <f>'3. CSS'!F21</f>
        <v>8003176</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27823858.939999998</v>
      </c>
      <c r="E30" s="264">
        <f>'4. PEI'!F21</f>
        <v>8000915.679999999</v>
      </c>
      <c r="F30" s="264">
        <f>'5. INN'!F22</f>
        <v>0</v>
      </c>
      <c r="G30" s="264">
        <f>'6. WET'!F20</f>
        <v>1768996.5</v>
      </c>
      <c r="H30" s="264">
        <f>'7. CFTN'!F21</f>
        <v>1833655.9</v>
      </c>
      <c r="I30" s="334"/>
      <c r="J30" s="264">
        <f>'8. WET RP, HP'!E14</f>
        <v>0</v>
      </c>
      <c r="K30" s="264">
        <f>'4. PEI'!F17</f>
        <v>782341.92</v>
      </c>
      <c r="L30" s="264">
        <f>'8. WET RP, HP'!E15</f>
        <v>0</v>
      </c>
      <c r="M30" s="334"/>
      <c r="N30" s="264">
        <f aca="true" t="shared" si="1" ref="N30:N35">SUM(D30:M30)</f>
        <v>40209768.94</v>
      </c>
    </row>
    <row r="31" spans="2:14" ht="24" customHeight="1">
      <c r="B31" s="24">
        <v>9</v>
      </c>
      <c r="C31" s="262" t="s">
        <v>5</v>
      </c>
      <c r="D31" s="261">
        <f>'3. CSS'!G25</f>
        <v>19432595.14</v>
      </c>
      <c r="E31" s="261">
        <f>'4. PEI'!G21</f>
        <v>2174242.25</v>
      </c>
      <c r="F31" s="261">
        <f>'5. INN'!G22</f>
        <v>0</v>
      </c>
      <c r="G31" s="261">
        <f>'6. WET'!G20</f>
        <v>0</v>
      </c>
      <c r="H31" s="261">
        <f>'7. CFTN'!G21</f>
        <v>0</v>
      </c>
      <c r="I31" s="7"/>
      <c r="J31" s="261">
        <f>'8. WET RP, HP'!F14</f>
        <v>0</v>
      </c>
      <c r="K31" s="261">
        <f>'4. PEI'!G17</f>
        <v>0</v>
      </c>
      <c r="L31" s="261">
        <f>'8. WET RP, HP'!F15</f>
        <v>0</v>
      </c>
      <c r="M31" s="327"/>
      <c r="N31" s="264">
        <f t="shared" si="1"/>
        <v>21606837.39</v>
      </c>
    </row>
    <row r="32" spans="2:14" ht="24" customHeight="1">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c r="B33" s="24">
        <v>11</v>
      </c>
      <c r="C33" s="262" t="s">
        <v>31</v>
      </c>
      <c r="D33" s="261">
        <f>'3. CSS'!I25</f>
        <v>0</v>
      </c>
      <c r="E33" s="261">
        <f>'4. PEI'!I21</f>
        <v>0</v>
      </c>
      <c r="F33" s="261">
        <f>'5. INN'!I22</f>
        <v>0</v>
      </c>
      <c r="G33" s="261">
        <f>'6. WET'!I20</f>
        <v>0</v>
      </c>
      <c r="H33" s="261">
        <f>'7. CFTN'!I21</f>
        <v>0</v>
      </c>
      <c r="I33" s="7"/>
      <c r="J33" s="261">
        <f>'8. WET RP, HP'!H14</f>
        <v>0</v>
      </c>
      <c r="K33" s="261">
        <f>'4. PEI'!I17</f>
        <v>0</v>
      </c>
      <c r="L33" s="261">
        <f>'8. WET RP, HP'!H15</f>
        <v>0</v>
      </c>
      <c r="M33" s="327"/>
      <c r="N33" s="264">
        <f t="shared" si="1"/>
        <v>0</v>
      </c>
    </row>
    <row r="34" spans="2:14" ht="24" customHeight="1">
      <c r="B34" s="24">
        <v>12</v>
      </c>
      <c r="C34" s="262" t="s">
        <v>15</v>
      </c>
      <c r="D34" s="261">
        <f>'3. CSS'!J25</f>
        <v>61718.039999999986</v>
      </c>
      <c r="E34" s="261">
        <f>'4. PEI'!J21</f>
        <v>7568.73</v>
      </c>
      <c r="F34" s="261">
        <f>'5. INN'!J22</f>
        <v>0</v>
      </c>
      <c r="G34" s="261">
        <f>'6. WET'!J20</f>
        <v>0</v>
      </c>
      <c r="H34" s="261">
        <f>'7. CFTN'!J21</f>
        <v>0</v>
      </c>
      <c r="I34" s="7"/>
      <c r="J34" s="261">
        <f>'8. WET RP, HP'!I14</f>
        <v>0</v>
      </c>
      <c r="K34" s="261">
        <f>'4. PEI'!J17</f>
        <v>0</v>
      </c>
      <c r="L34" s="261">
        <f>'8. WET RP, HP'!I15</f>
        <v>0</v>
      </c>
      <c r="M34" s="327"/>
      <c r="N34" s="264">
        <f t="shared" si="1"/>
        <v>69286.76999999999</v>
      </c>
    </row>
    <row r="35" spans="2:14" ht="24" customHeight="1">
      <c r="B35" s="24">
        <v>13</v>
      </c>
      <c r="C35" s="266" t="s">
        <v>25</v>
      </c>
      <c r="D35" s="267">
        <f>SUM(D30:D34)</f>
        <v>47318172.12</v>
      </c>
      <c r="E35" s="267">
        <f aca="true" t="shared" si="2" ref="E35:L35">SUM(E30:E34)</f>
        <v>10182726.66</v>
      </c>
      <c r="F35" s="267">
        <f t="shared" si="2"/>
        <v>0</v>
      </c>
      <c r="G35" s="267">
        <f t="shared" si="2"/>
        <v>1768996.5</v>
      </c>
      <c r="H35" s="267">
        <f t="shared" si="2"/>
        <v>1833655.9</v>
      </c>
      <c r="I35" s="267">
        <f t="shared" si="2"/>
        <v>0</v>
      </c>
      <c r="J35" s="267">
        <f t="shared" si="2"/>
        <v>0</v>
      </c>
      <c r="K35" s="267">
        <f t="shared" si="2"/>
        <v>782341.92</v>
      </c>
      <c r="L35" s="267">
        <f t="shared" si="2"/>
        <v>0</v>
      </c>
      <c r="M35" s="7"/>
      <c r="N35" s="339">
        <f t="shared" si="1"/>
        <v>61885893.1</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0</v>
      </c>
      <c r="F39" s="90"/>
      <c r="G39" s="260"/>
      <c r="H39" s="260"/>
      <c r="I39" s="260"/>
      <c r="J39" s="260"/>
      <c r="K39" s="260"/>
      <c r="L39" s="260"/>
      <c r="M39" s="260"/>
      <c r="N39" s="347"/>
    </row>
    <row r="40" spans="2:14" ht="15">
      <c r="B40" s="24">
        <v>15</v>
      </c>
      <c r="C40" s="358" t="s">
        <v>23</v>
      </c>
      <c r="D40" s="366">
        <f>'3. CSS'!K15+'4. PEI'!K15+'5. INN'!K19+'6. WET'!K15+'7. CFTN'!K16+'7. CFTN'!K17</f>
        <v>0</v>
      </c>
      <c r="E40" s="263"/>
      <c r="F40" s="260"/>
      <c r="G40" s="260"/>
      <c r="H40" s="260"/>
      <c r="I40" s="260"/>
      <c r="J40" s="260"/>
      <c r="K40" s="260"/>
      <c r="L40" s="260"/>
      <c r="M40" s="260"/>
      <c r="N40" s="347"/>
    </row>
    <row r="41" spans="2:14" ht="15">
      <c r="B41" s="24">
        <v>16</v>
      </c>
      <c r="C41" s="358" t="s">
        <v>24</v>
      </c>
      <c r="D41" s="366">
        <f>'3. CSS'!K16+'4. PEI'!K16+'5. INN'!K15+'5. INN'!K18+'6. WET'!K16+'7. CFTN'!K18+'7. CFTN'!K19</f>
        <v>3371533.4499999997</v>
      </c>
      <c r="E41" s="263"/>
      <c r="F41" s="260"/>
      <c r="G41" s="260"/>
      <c r="H41" s="260"/>
      <c r="I41" s="260"/>
      <c r="J41" s="260"/>
      <c r="K41" s="260"/>
      <c r="L41" s="260"/>
      <c r="M41" s="260"/>
      <c r="N41" s="347"/>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isablePrompts="1">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1" fitToWidth="1" horizontalDpi="600" verticalDpi="600" orientation="landscape" paperSize="5" scale="53"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3"/>
  <sheetViews>
    <sheetView showGridLines="0" zoomScale="85" zoomScaleNormal="85" zoomScaleSheetLayoutView="55" zoomScalePageLayoutView="70" workbookViewId="0" topLeftCell="C34">
      <selection activeCell="F39" sqref="F39"/>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45"/>
      <c r="C1" s="445"/>
      <c r="D1" s="445"/>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46" t="s">
        <v>1</v>
      </c>
      <c r="C7" s="446"/>
      <c r="D7" s="9" t="str">
        <f>IF(ISBLANK('1. Information'!D8),"",'1. Information'!D8)</f>
        <v>Fresno</v>
      </c>
      <c r="E7" s="281"/>
      <c r="F7" s="279" t="s">
        <v>2</v>
      </c>
      <c r="G7" s="282">
        <f>IF(ISBLANK('1. Information'!D7),"",'1. Information'!D7)</f>
        <v>43461</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38" t="s">
        <v>30</v>
      </c>
      <c r="H12" s="436"/>
      <c r="I12" s="436"/>
      <c r="J12" s="439"/>
      <c r="K12" s="303"/>
      <c r="L12"/>
    </row>
    <row r="13" spans="1:12" ht="47.25">
      <c r="A13" s="281"/>
      <c r="B13" s="40"/>
      <c r="F13" s="30" t="s">
        <v>300</v>
      </c>
      <c r="G13" s="27" t="s">
        <v>5</v>
      </c>
      <c r="H13" s="44" t="s">
        <v>6</v>
      </c>
      <c r="I13" s="27" t="s">
        <v>31</v>
      </c>
      <c r="J13" s="27" t="s">
        <v>15</v>
      </c>
      <c r="K13" s="302" t="s">
        <v>278</v>
      </c>
      <c r="L13"/>
    </row>
    <row r="14" spans="1:12" ht="15">
      <c r="A14" s="281"/>
      <c r="B14" s="277">
        <v>1</v>
      </c>
      <c r="C14" s="443" t="s">
        <v>7</v>
      </c>
      <c r="D14" s="443"/>
      <c r="E14" s="443"/>
      <c r="F14" s="367"/>
      <c r="G14" s="368"/>
      <c r="H14" s="353"/>
      <c r="I14" s="290"/>
      <c r="J14" s="290"/>
      <c r="K14" s="292">
        <f>SUM(F14:J14)</f>
        <v>0</v>
      </c>
      <c r="L14"/>
    </row>
    <row r="15" spans="1:12" ht="15" customHeight="1">
      <c r="A15" s="281"/>
      <c r="B15" s="277">
        <v>2</v>
      </c>
      <c r="C15" s="443" t="s">
        <v>8</v>
      </c>
      <c r="D15" s="443"/>
      <c r="E15" s="443"/>
      <c r="F15" s="367"/>
      <c r="G15" s="290"/>
      <c r="H15" s="290"/>
      <c r="I15" s="290"/>
      <c r="J15" s="290"/>
      <c r="K15" s="292">
        <f aca="true" t="shared" si="0" ref="K15:K23">SUM(F15:J15)</f>
        <v>0</v>
      </c>
      <c r="L15"/>
    </row>
    <row r="16" spans="1:12" ht="15">
      <c r="A16" s="281"/>
      <c r="B16" s="277">
        <v>3</v>
      </c>
      <c r="C16" s="443" t="s">
        <v>129</v>
      </c>
      <c r="D16" s="443"/>
      <c r="E16" s="443"/>
      <c r="F16" s="367">
        <v>3072759.4</v>
      </c>
      <c r="G16" s="290"/>
      <c r="H16" s="290"/>
      <c r="I16" s="290"/>
      <c r="J16" s="290"/>
      <c r="K16" s="292">
        <f t="shared" si="0"/>
        <v>3072759.4</v>
      </c>
      <c r="L16"/>
    </row>
    <row r="17" spans="1:12" ht="15">
      <c r="A17" s="281"/>
      <c r="B17" s="277">
        <v>4</v>
      </c>
      <c r="C17" s="444" t="s">
        <v>218</v>
      </c>
      <c r="D17" s="444"/>
      <c r="E17" s="444"/>
      <c r="F17" s="367"/>
      <c r="G17" s="290"/>
      <c r="H17" s="290"/>
      <c r="I17" s="290"/>
      <c r="J17" s="290"/>
      <c r="K17" s="292">
        <f t="shared" si="0"/>
        <v>0</v>
      </c>
      <c r="L17"/>
    </row>
    <row r="18" spans="1:12" ht="15">
      <c r="A18" s="281"/>
      <c r="B18" s="277">
        <v>5</v>
      </c>
      <c r="C18" s="444" t="s">
        <v>219</v>
      </c>
      <c r="D18" s="444"/>
      <c r="E18" s="444"/>
      <c r="F18" s="367"/>
      <c r="G18" s="294"/>
      <c r="H18" s="294"/>
      <c r="I18" s="294"/>
      <c r="J18" s="294"/>
      <c r="K18" s="292">
        <f t="shared" si="0"/>
        <v>0</v>
      </c>
      <c r="L18"/>
    </row>
    <row r="19" spans="1:12" ht="15">
      <c r="A19" s="281"/>
      <c r="B19" s="277">
        <v>6</v>
      </c>
      <c r="C19" s="443" t="s">
        <v>216</v>
      </c>
      <c r="D19" s="443"/>
      <c r="E19" s="443"/>
      <c r="F19" s="290"/>
      <c r="G19" s="294"/>
      <c r="H19" s="294"/>
      <c r="I19" s="294"/>
      <c r="J19" s="294"/>
      <c r="K19" s="293">
        <f t="shared" si="0"/>
        <v>0</v>
      </c>
      <c r="L19"/>
    </row>
    <row r="20" spans="1:12" ht="15">
      <c r="A20" s="283"/>
      <c r="B20" s="256">
        <v>7</v>
      </c>
      <c r="C20" s="440" t="s">
        <v>226</v>
      </c>
      <c r="D20" s="441"/>
      <c r="E20" s="442"/>
      <c r="F20" s="290"/>
      <c r="G20" s="293"/>
      <c r="H20" s="293"/>
      <c r="I20" s="293"/>
      <c r="J20" s="293"/>
      <c r="K20" s="293">
        <f t="shared" si="0"/>
        <v>0</v>
      </c>
      <c r="L20"/>
    </row>
    <row r="21" spans="1:12" ht="15">
      <c r="A21" s="283"/>
      <c r="B21" s="256">
        <v>8</v>
      </c>
      <c r="C21" s="440" t="s">
        <v>227</v>
      </c>
      <c r="D21" s="441"/>
      <c r="E21" s="442"/>
      <c r="F21" s="290">
        <v>8003176</v>
      </c>
      <c r="G21" s="293"/>
      <c r="H21" s="293"/>
      <c r="I21" s="293"/>
      <c r="J21" s="293"/>
      <c r="K21" s="293">
        <f t="shared" si="0"/>
        <v>8003176</v>
      </c>
      <c r="L21"/>
    </row>
    <row r="22" spans="1:12" ht="15">
      <c r="A22" s="283"/>
      <c r="B22" s="256">
        <v>9</v>
      </c>
      <c r="C22" s="440" t="s">
        <v>225</v>
      </c>
      <c r="D22" s="441"/>
      <c r="E22" s="442"/>
      <c r="F22" s="290"/>
      <c r="G22" s="293"/>
      <c r="H22" s="293"/>
      <c r="I22" s="293"/>
      <c r="J22" s="293"/>
      <c r="K22" s="293">
        <f t="shared" si="0"/>
        <v>0</v>
      </c>
      <c r="L22"/>
    </row>
    <row r="23" spans="1:12" ht="15">
      <c r="A23" s="281"/>
      <c r="B23" s="277">
        <v>10</v>
      </c>
      <c r="C23" s="443" t="s">
        <v>140</v>
      </c>
      <c r="D23" s="443"/>
      <c r="E23" s="443"/>
      <c r="F23" s="294">
        <f>SUM(G33:G132)</f>
        <v>24751099.54</v>
      </c>
      <c r="G23" s="293">
        <f>SUM(H33:H132)</f>
        <v>19432595.14</v>
      </c>
      <c r="H23" s="293">
        <f>SUM(I33:I132)</f>
        <v>0</v>
      </c>
      <c r="I23" s="293">
        <f>SUM(J33:J132)</f>
        <v>0</v>
      </c>
      <c r="J23" s="293">
        <f>SUM(K33:K132)</f>
        <v>61718.039999999986</v>
      </c>
      <c r="K23" s="293">
        <f t="shared" si="0"/>
        <v>44245412.72</v>
      </c>
      <c r="L23"/>
    </row>
    <row r="24" spans="1:12" ht="30.95" customHeight="1">
      <c r="A24" s="281"/>
      <c r="B24" s="277">
        <v>11</v>
      </c>
      <c r="C24" s="430" t="s">
        <v>223</v>
      </c>
      <c r="D24" s="431"/>
      <c r="E24" s="432"/>
      <c r="F24" s="7">
        <f>SUM(F14:F16,F18:F23)</f>
        <v>35827034.94</v>
      </c>
      <c r="G24" s="7">
        <f>SUM(G14:G16,G18:G23)</f>
        <v>19432595.14</v>
      </c>
      <c r="H24" s="43">
        <f aca="true" t="shared" si="1" ref="H24:J24">SUM(H14:H16,H18:H23)</f>
        <v>0</v>
      </c>
      <c r="I24" s="7">
        <f t="shared" si="1"/>
        <v>0</v>
      </c>
      <c r="J24" s="7">
        <f t="shared" si="1"/>
        <v>61718.039999999986</v>
      </c>
      <c r="K24" s="7">
        <f>SUM(K14:K16,K18:K23)</f>
        <v>55321348.12</v>
      </c>
      <c r="L24"/>
    </row>
    <row r="25" spans="1:11" s="325" customFormat="1" ht="30.95" customHeight="1">
      <c r="A25" s="281"/>
      <c r="B25" s="277">
        <v>12</v>
      </c>
      <c r="C25" s="437" t="s">
        <v>283</v>
      </c>
      <c r="D25" s="437"/>
      <c r="E25" s="437"/>
      <c r="F25" s="7">
        <f>SUM(F14:F16,F18,F23)</f>
        <v>27823858.939999998</v>
      </c>
      <c r="G25" s="299">
        <f aca="true" t="shared" si="2" ref="G25:J25">SUM(G14:G16,G18,G23)</f>
        <v>19432595.14</v>
      </c>
      <c r="H25" s="299">
        <f t="shared" si="2"/>
        <v>0</v>
      </c>
      <c r="I25" s="299">
        <f t="shared" si="2"/>
        <v>0</v>
      </c>
      <c r="J25" s="7">
        <f t="shared" si="2"/>
        <v>61718.039999999986</v>
      </c>
      <c r="K25" s="7">
        <f>SUM(K14:K16,K18,K23)</f>
        <v>47318172.12</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36" t="s">
        <v>166</v>
      </c>
      <c r="E31" s="436"/>
      <c r="F31" s="436"/>
      <c r="G31" s="344" t="s">
        <v>28</v>
      </c>
      <c r="H31" s="433" t="s">
        <v>30</v>
      </c>
      <c r="I31" s="434"/>
      <c r="J31" s="434"/>
      <c r="K31" s="435"/>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30.75">
      <c r="A33" s="281"/>
      <c r="B33" s="295">
        <v>1</v>
      </c>
      <c r="C33" s="296">
        <f aca="true" t="shared" si="3" ref="C33:C64">IF(L33&lt;&gt;0,VLOOKUP($D$7,Info_County_Code,2,FALSE),"")</f>
        <v>10</v>
      </c>
      <c r="D33" s="395" t="s">
        <v>346</v>
      </c>
      <c r="E33" s="395" t="s">
        <v>345</v>
      </c>
      <c r="F33" s="297" t="s">
        <v>102</v>
      </c>
      <c r="G33" s="291">
        <f>1776009.66-121043.84</f>
        <v>1654965.8199999998</v>
      </c>
      <c r="H33" s="291">
        <f>512553.28-168073.45</f>
        <v>344479.83</v>
      </c>
      <c r="I33" s="291"/>
      <c r="J33" s="318"/>
      <c r="K33" s="291">
        <v>74</v>
      </c>
      <c r="L33" s="293">
        <f>SUM(G33:K33)</f>
        <v>1999519.65</v>
      </c>
    </row>
    <row r="34" spans="1:12" s="359" customFormat="1" ht="30.75">
      <c r="A34" s="281"/>
      <c r="B34" s="295">
        <v>2</v>
      </c>
      <c r="C34" s="296">
        <f t="shared" si="3"/>
        <v>10</v>
      </c>
      <c r="D34" s="395" t="s">
        <v>348</v>
      </c>
      <c r="E34" s="395" t="s">
        <v>347</v>
      </c>
      <c r="F34" s="297" t="s">
        <v>102</v>
      </c>
      <c r="G34" s="291">
        <f>92949.82-71956.22</f>
        <v>20993.600000000006</v>
      </c>
      <c r="H34" s="291">
        <v>1362539.58</v>
      </c>
      <c r="I34" s="291"/>
      <c r="J34" s="318"/>
      <c r="K34" s="291"/>
      <c r="L34" s="293">
        <f aca="true" t="shared" si="4" ref="L34:L97">SUM(G34:K34)</f>
        <v>1383533.1800000002</v>
      </c>
    </row>
    <row r="35" spans="1:12" s="359" customFormat="1" ht="15">
      <c r="A35" s="281"/>
      <c r="B35" s="295">
        <v>3</v>
      </c>
      <c r="C35" s="296">
        <f t="shared" si="3"/>
        <v>10</v>
      </c>
      <c r="D35" s="395" t="s">
        <v>350</v>
      </c>
      <c r="E35" s="395" t="s">
        <v>349</v>
      </c>
      <c r="F35" s="297" t="s">
        <v>102</v>
      </c>
      <c r="G35" s="291">
        <v>1494579.9</v>
      </c>
      <c r="H35" s="291">
        <v>744562.4</v>
      </c>
      <c r="I35" s="291"/>
      <c r="J35" s="318"/>
      <c r="K35" s="291"/>
      <c r="L35" s="293">
        <f t="shared" si="4"/>
        <v>2239142.3</v>
      </c>
    </row>
    <row r="36" spans="1:12" s="359" customFormat="1" ht="30.75">
      <c r="A36" s="281"/>
      <c r="B36" s="295">
        <v>4</v>
      </c>
      <c r="C36" s="296">
        <f t="shared" si="3"/>
        <v>10</v>
      </c>
      <c r="D36" s="395" t="s">
        <v>352</v>
      </c>
      <c r="E36" s="395" t="s">
        <v>351</v>
      </c>
      <c r="F36" s="297" t="s">
        <v>102</v>
      </c>
      <c r="G36" s="291">
        <f>781718.74-201.7</f>
        <v>781517.04</v>
      </c>
      <c r="H36" s="291">
        <v>576861.7</v>
      </c>
      <c r="I36" s="291"/>
      <c r="J36" s="318"/>
      <c r="K36" s="291">
        <v>37</v>
      </c>
      <c r="L36" s="293">
        <f t="shared" si="4"/>
        <v>1358415.74</v>
      </c>
    </row>
    <row r="37" spans="1:12" s="359" customFormat="1" ht="15">
      <c r="A37" s="281"/>
      <c r="B37" s="295">
        <v>5</v>
      </c>
      <c r="C37" s="296" t="str">
        <f t="shared" si="3"/>
        <v/>
      </c>
      <c r="D37" s="395"/>
      <c r="E37" s="395"/>
      <c r="F37" s="297"/>
      <c r="G37" s="291"/>
      <c r="H37" s="291"/>
      <c r="I37" s="291"/>
      <c r="J37" s="318"/>
      <c r="K37" s="291"/>
      <c r="L37" s="293">
        <f>SUM(H37:K37)</f>
        <v>0</v>
      </c>
    </row>
    <row r="38" spans="1:12" s="359" customFormat="1" ht="30.75">
      <c r="A38" s="281"/>
      <c r="B38" s="295">
        <v>6</v>
      </c>
      <c r="C38" s="296">
        <f t="shared" si="3"/>
        <v>10</v>
      </c>
      <c r="D38" s="395" t="s">
        <v>354</v>
      </c>
      <c r="E38" s="395" t="s">
        <v>353</v>
      </c>
      <c r="F38" s="297" t="s">
        <v>102</v>
      </c>
      <c r="G38" s="291">
        <f>1901599.21-36519.68</f>
        <v>1865079.53</v>
      </c>
      <c r="H38" s="291">
        <v>925385.49</v>
      </c>
      <c r="I38" s="291"/>
      <c r="J38" s="318"/>
      <c r="K38" s="291"/>
      <c r="L38" s="293">
        <f t="shared" si="4"/>
        <v>2790465.02</v>
      </c>
    </row>
    <row r="39" spans="1:12" s="359" customFormat="1" ht="30.75">
      <c r="A39" s="281"/>
      <c r="B39" s="295">
        <v>7</v>
      </c>
      <c r="C39" s="296">
        <f t="shared" si="3"/>
        <v>10</v>
      </c>
      <c r="D39" s="395" t="s">
        <v>356</v>
      </c>
      <c r="E39" s="395" t="s">
        <v>355</v>
      </c>
      <c r="F39" s="297" t="s">
        <v>102</v>
      </c>
      <c r="G39" s="291">
        <f>1034592.35-176489.54</f>
        <v>858102.8099999999</v>
      </c>
      <c r="H39" s="291">
        <v>1775834.06</v>
      </c>
      <c r="I39" s="291"/>
      <c r="J39" s="318"/>
      <c r="K39" s="291">
        <v>87</v>
      </c>
      <c r="L39" s="293">
        <f t="shared" si="4"/>
        <v>2634023.87</v>
      </c>
    </row>
    <row r="40" spans="1:12" s="359" customFormat="1" ht="15">
      <c r="A40" s="281"/>
      <c r="B40" s="295">
        <v>8</v>
      </c>
      <c r="C40" s="296">
        <f t="shared" si="3"/>
        <v>10</v>
      </c>
      <c r="D40" s="395" t="s">
        <v>358</v>
      </c>
      <c r="E40" s="395" t="s">
        <v>357</v>
      </c>
      <c r="F40" s="297" t="s">
        <v>102</v>
      </c>
      <c r="G40" s="291">
        <f>1218202.54-245067.97</f>
        <v>973134.5700000001</v>
      </c>
      <c r="H40" s="291">
        <v>2911419.61</v>
      </c>
      <c r="I40" s="291"/>
      <c r="J40" s="318"/>
      <c r="K40" s="291">
        <f>148-111</f>
        <v>37</v>
      </c>
      <c r="L40" s="293">
        <f t="shared" si="4"/>
        <v>3884591.1799999997</v>
      </c>
    </row>
    <row r="41" spans="1:12" s="359" customFormat="1" ht="15">
      <c r="A41" s="281"/>
      <c r="B41" s="295">
        <v>9</v>
      </c>
      <c r="C41" s="296">
        <f t="shared" si="3"/>
        <v>10</v>
      </c>
      <c r="D41" s="395" t="s">
        <v>360</v>
      </c>
      <c r="E41" s="395" t="s">
        <v>359</v>
      </c>
      <c r="F41" s="297" t="s">
        <v>103</v>
      </c>
      <c r="G41" s="291">
        <f>332204.16-32134.03</f>
        <v>300070.13</v>
      </c>
      <c r="H41" s="291">
        <v>493631.37</v>
      </c>
      <c r="I41" s="291"/>
      <c r="J41" s="318"/>
      <c r="K41" s="291">
        <f>3495.03-2281.37</f>
        <v>1213.6600000000003</v>
      </c>
      <c r="L41" s="293">
        <f t="shared" si="4"/>
        <v>794915.16</v>
      </c>
    </row>
    <row r="42" spans="1:12" s="359" customFormat="1" ht="15">
      <c r="A42" s="281"/>
      <c r="B42" s="295">
        <v>10</v>
      </c>
      <c r="C42" s="296">
        <f t="shared" si="3"/>
        <v>10</v>
      </c>
      <c r="D42" s="395" t="s">
        <v>362</v>
      </c>
      <c r="E42" s="395" t="s">
        <v>361</v>
      </c>
      <c r="F42" s="297" t="s">
        <v>103</v>
      </c>
      <c r="G42" s="291">
        <f>667092.86-18959.89</f>
        <v>648132.97</v>
      </c>
      <c r="H42" s="291">
        <v>425368.49</v>
      </c>
      <c r="I42" s="291"/>
      <c r="J42" s="318"/>
      <c r="K42" s="291">
        <f>3445.74-2696.31-23.88</f>
        <v>725.5499999999998</v>
      </c>
      <c r="L42" s="293">
        <f t="shared" si="4"/>
        <v>1074227.01</v>
      </c>
    </row>
    <row r="43" spans="1:12" s="359" customFormat="1" ht="15">
      <c r="A43" s="281"/>
      <c r="B43" s="295">
        <v>11</v>
      </c>
      <c r="C43" s="296">
        <f t="shared" si="3"/>
        <v>10</v>
      </c>
      <c r="D43" s="395" t="s">
        <v>363</v>
      </c>
      <c r="E43" s="395"/>
      <c r="F43" s="297" t="s">
        <v>103</v>
      </c>
      <c r="G43" s="291">
        <f>328633.98</f>
        <v>328633.98</v>
      </c>
      <c r="H43" s="291">
        <v>377719.59</v>
      </c>
      <c r="I43" s="291"/>
      <c r="J43" s="318"/>
      <c r="K43" s="291">
        <v>33</v>
      </c>
      <c r="L43" s="293">
        <f t="shared" si="4"/>
        <v>706386.5700000001</v>
      </c>
    </row>
    <row r="44" spans="1:12" s="359" customFormat="1" ht="30.75">
      <c r="A44" s="281"/>
      <c r="B44" s="295">
        <v>12</v>
      </c>
      <c r="C44" s="296">
        <f t="shared" si="3"/>
        <v>10</v>
      </c>
      <c r="D44" s="395" t="s">
        <v>365</v>
      </c>
      <c r="E44" s="395" t="s">
        <v>364</v>
      </c>
      <c r="F44" s="297" t="s">
        <v>103</v>
      </c>
      <c r="G44" s="291">
        <v>193723</v>
      </c>
      <c r="H44" s="291"/>
      <c r="I44" s="291"/>
      <c r="J44" s="318"/>
      <c r="K44" s="291"/>
      <c r="L44" s="293">
        <f t="shared" si="4"/>
        <v>193723</v>
      </c>
    </row>
    <row r="45" spans="1:12" s="359" customFormat="1" ht="15">
      <c r="A45" s="281"/>
      <c r="B45" s="295">
        <v>13</v>
      </c>
      <c r="C45" s="296">
        <f t="shared" si="3"/>
        <v>10</v>
      </c>
      <c r="D45" s="395" t="s">
        <v>367</v>
      </c>
      <c r="E45" s="395" t="s">
        <v>366</v>
      </c>
      <c r="F45" s="297" t="s">
        <v>103</v>
      </c>
      <c r="G45" s="291">
        <f>571759.84-20563.06</f>
        <v>551196.7799999999</v>
      </c>
      <c r="H45" s="291"/>
      <c r="I45" s="291"/>
      <c r="J45" s="318"/>
      <c r="K45" s="291"/>
      <c r="L45" s="293">
        <f t="shared" si="4"/>
        <v>551196.7799999999</v>
      </c>
    </row>
    <row r="46" spans="1:12" s="359" customFormat="1" ht="30.75">
      <c r="A46" s="281"/>
      <c r="B46" s="295">
        <v>14</v>
      </c>
      <c r="C46" s="296">
        <f t="shared" si="3"/>
        <v>10</v>
      </c>
      <c r="D46" s="395" t="s">
        <v>369</v>
      </c>
      <c r="E46" s="395" t="s">
        <v>368</v>
      </c>
      <c r="F46" s="297" t="s">
        <v>103</v>
      </c>
      <c r="G46" s="291">
        <f>3959643.16-605.18</f>
        <v>3959037.98</v>
      </c>
      <c r="H46" s="291">
        <f>3411708.61-165833.63</f>
        <v>3245874.98</v>
      </c>
      <c r="I46" s="291"/>
      <c r="J46" s="318"/>
      <c r="K46" s="291">
        <f>32675.17-664</f>
        <v>32011.17</v>
      </c>
      <c r="L46" s="293">
        <f t="shared" si="4"/>
        <v>7236924.13</v>
      </c>
    </row>
    <row r="47" spans="1:12" s="359" customFormat="1" ht="15">
      <c r="A47" s="281"/>
      <c r="B47" s="295">
        <v>15</v>
      </c>
      <c r="C47" s="296">
        <f t="shared" si="3"/>
        <v>10</v>
      </c>
      <c r="D47" s="395" t="s">
        <v>371</v>
      </c>
      <c r="E47" s="395" t="s">
        <v>370</v>
      </c>
      <c r="F47" s="297" t="s">
        <v>103</v>
      </c>
      <c r="G47" s="291">
        <f>29339.56-1707.41</f>
        <v>27632.15</v>
      </c>
      <c r="H47" s="291"/>
      <c r="I47" s="291"/>
      <c r="J47" s="318"/>
      <c r="K47" s="291">
        <f>1937.04-968.52</f>
        <v>968.52</v>
      </c>
      <c r="L47" s="293">
        <f t="shared" si="4"/>
        <v>28600.670000000002</v>
      </c>
    </row>
    <row r="48" spans="1:12" s="359" customFormat="1" ht="30.75">
      <c r="A48" s="281"/>
      <c r="B48" s="295">
        <v>16</v>
      </c>
      <c r="C48" s="296">
        <f t="shared" si="3"/>
        <v>10</v>
      </c>
      <c r="D48" s="395" t="s">
        <v>373</v>
      </c>
      <c r="E48" s="395" t="s">
        <v>372</v>
      </c>
      <c r="F48" s="297" t="s">
        <v>103</v>
      </c>
      <c r="G48" s="291">
        <f>327784.93-46244.38</f>
        <v>281540.55</v>
      </c>
      <c r="H48" s="291">
        <v>991116.07</v>
      </c>
      <c r="I48" s="291"/>
      <c r="J48" s="318"/>
      <c r="K48" s="291">
        <v>1171.42</v>
      </c>
      <c r="L48" s="293">
        <f t="shared" si="4"/>
        <v>1273828.0399999998</v>
      </c>
    </row>
    <row r="49" spans="1:12" s="359" customFormat="1" ht="15">
      <c r="A49" s="281"/>
      <c r="B49" s="295">
        <v>17</v>
      </c>
      <c r="C49" s="296">
        <f t="shared" si="3"/>
        <v>10</v>
      </c>
      <c r="D49" s="395" t="s">
        <v>374</v>
      </c>
      <c r="E49" s="395" t="s">
        <v>375</v>
      </c>
      <c r="F49" s="297" t="s">
        <v>103</v>
      </c>
      <c r="G49" s="291">
        <f>740749.59-301396.22-16691.31</f>
        <v>422662.06</v>
      </c>
      <c r="H49" s="291"/>
      <c r="I49" s="291"/>
      <c r="J49" s="318"/>
      <c r="K49" s="291">
        <f>2184.11-150</f>
        <v>2034.1100000000001</v>
      </c>
      <c r="L49" s="293">
        <f t="shared" si="4"/>
        <v>424696.17</v>
      </c>
    </row>
    <row r="50" spans="1:12" s="359" customFormat="1" ht="15">
      <c r="A50" s="281"/>
      <c r="B50" s="295">
        <v>18</v>
      </c>
      <c r="C50" s="296">
        <f t="shared" si="3"/>
        <v>10</v>
      </c>
      <c r="D50" s="395" t="s">
        <v>376</v>
      </c>
      <c r="E50" s="421"/>
      <c r="F50" s="297" t="s">
        <v>103</v>
      </c>
      <c r="G50" s="291">
        <f>472146.45-53962.45</f>
        <v>418184</v>
      </c>
      <c r="H50" s="291">
        <v>1007353.76</v>
      </c>
      <c r="I50" s="291"/>
      <c r="J50" s="318"/>
      <c r="K50" s="291">
        <f>3960.65-32.4</f>
        <v>3928.25</v>
      </c>
      <c r="L50" s="293">
        <f t="shared" si="4"/>
        <v>1429466.01</v>
      </c>
    </row>
    <row r="51" spans="1:12" s="359" customFormat="1" ht="15">
      <c r="A51" s="281"/>
      <c r="B51" s="295">
        <v>19</v>
      </c>
      <c r="C51" s="296">
        <f t="shared" si="3"/>
        <v>10</v>
      </c>
      <c r="D51" s="395" t="s">
        <v>378</v>
      </c>
      <c r="E51" s="395" t="s">
        <v>377</v>
      </c>
      <c r="F51" s="297" t="s">
        <v>103</v>
      </c>
      <c r="G51" s="291">
        <f>4013151.88-135241.52-123425.99</f>
        <v>3754484.3699999996</v>
      </c>
      <c r="H51" s="291">
        <v>2343172.86</v>
      </c>
      <c r="I51" s="291"/>
      <c r="J51" s="318"/>
      <c r="K51" s="291">
        <f>24919.82-15987.15</f>
        <v>8932.67</v>
      </c>
      <c r="L51" s="293">
        <f t="shared" si="4"/>
        <v>6106589.899999999</v>
      </c>
    </row>
    <row r="52" spans="1:12" s="359" customFormat="1" ht="15">
      <c r="A52" s="281"/>
      <c r="B52" s="295">
        <v>20</v>
      </c>
      <c r="C52" s="296">
        <f t="shared" si="3"/>
        <v>10</v>
      </c>
      <c r="D52" s="395" t="s">
        <v>380</v>
      </c>
      <c r="E52" s="395" t="s">
        <v>379</v>
      </c>
      <c r="F52" s="297" t="s">
        <v>103</v>
      </c>
      <c r="G52" s="291">
        <f>4652467.59-82488.32</f>
        <v>4569979.27</v>
      </c>
      <c r="H52" s="291">
        <v>1351002.12</v>
      </c>
      <c r="I52" s="291"/>
      <c r="J52" s="318"/>
      <c r="K52" s="291">
        <f>12567.41-2398.24</f>
        <v>10169.17</v>
      </c>
      <c r="L52" s="293">
        <f t="shared" si="4"/>
        <v>5931150.56</v>
      </c>
    </row>
    <row r="53" spans="1:12" s="359" customFormat="1" ht="15">
      <c r="A53" s="281"/>
      <c r="B53" s="295">
        <v>21</v>
      </c>
      <c r="C53" s="296">
        <f t="shared" si="3"/>
        <v>10</v>
      </c>
      <c r="D53" s="395" t="s">
        <v>381</v>
      </c>
      <c r="E53" s="395"/>
      <c r="F53" s="297" t="s">
        <v>103</v>
      </c>
      <c r="G53" s="291">
        <v>66839.05</v>
      </c>
      <c r="H53" s="291"/>
      <c r="I53" s="291"/>
      <c r="J53" s="318"/>
      <c r="K53" s="291"/>
      <c r="L53" s="293">
        <f t="shared" si="4"/>
        <v>66839.05</v>
      </c>
    </row>
    <row r="54" spans="1:12" s="359" customFormat="1" ht="15">
      <c r="A54" s="281"/>
      <c r="B54" s="295">
        <v>22</v>
      </c>
      <c r="C54" s="296">
        <f t="shared" si="3"/>
        <v>10</v>
      </c>
      <c r="D54" s="395" t="s">
        <v>382</v>
      </c>
      <c r="E54" s="395"/>
      <c r="F54" s="297" t="s">
        <v>103</v>
      </c>
      <c r="G54" s="291">
        <v>122724.54</v>
      </c>
      <c r="H54" s="291"/>
      <c r="I54" s="291"/>
      <c r="J54" s="318"/>
      <c r="K54" s="291"/>
      <c r="L54" s="293">
        <f t="shared" si="4"/>
        <v>122724.54</v>
      </c>
    </row>
    <row r="55" spans="1:12" s="359" customFormat="1" ht="15">
      <c r="A55" s="281"/>
      <c r="B55" s="295">
        <v>23</v>
      </c>
      <c r="C55" s="296">
        <f t="shared" si="3"/>
        <v>10</v>
      </c>
      <c r="D55" s="395" t="s">
        <v>383</v>
      </c>
      <c r="E55" s="395"/>
      <c r="F55" s="297" t="s">
        <v>103</v>
      </c>
      <c r="G55" s="291">
        <v>597970.21</v>
      </c>
      <c r="H55" s="291"/>
      <c r="I55" s="291"/>
      <c r="J55" s="318"/>
      <c r="K55" s="291"/>
      <c r="L55" s="293">
        <f t="shared" si="4"/>
        <v>597970.21</v>
      </c>
    </row>
    <row r="56" spans="1:12" s="359" customFormat="1" ht="30.75">
      <c r="A56" s="281"/>
      <c r="B56" s="295">
        <v>24</v>
      </c>
      <c r="C56" s="296">
        <f t="shared" si="3"/>
        <v>10</v>
      </c>
      <c r="D56" s="395" t="s">
        <v>384</v>
      </c>
      <c r="E56" s="395"/>
      <c r="F56" s="297" t="s">
        <v>103</v>
      </c>
      <c r="G56" s="291">
        <v>207695.29</v>
      </c>
      <c r="H56" s="291">
        <v>237115.61</v>
      </c>
      <c r="I56" s="291"/>
      <c r="J56" s="318"/>
      <c r="K56" s="291"/>
      <c r="L56" s="293">
        <f t="shared" si="4"/>
        <v>444810.9</v>
      </c>
    </row>
    <row r="57" spans="1:12" s="359" customFormat="1" ht="15">
      <c r="A57" s="281"/>
      <c r="B57" s="295">
        <v>25</v>
      </c>
      <c r="C57" s="296">
        <f t="shared" si="3"/>
        <v>10</v>
      </c>
      <c r="D57" s="395" t="s">
        <v>385</v>
      </c>
      <c r="E57" s="395"/>
      <c r="F57" s="297" t="s">
        <v>103</v>
      </c>
      <c r="G57" s="291">
        <v>135241.52</v>
      </c>
      <c r="H57" s="291"/>
      <c r="I57" s="291"/>
      <c r="J57" s="318"/>
      <c r="K57" s="291"/>
      <c r="L57" s="293">
        <f t="shared" si="4"/>
        <v>135241.52</v>
      </c>
    </row>
    <row r="58" spans="1:12" s="359" customFormat="1" ht="30.75">
      <c r="A58" s="281"/>
      <c r="B58" s="295">
        <v>26</v>
      </c>
      <c r="C58" s="296">
        <f t="shared" si="3"/>
        <v>10</v>
      </c>
      <c r="D58" s="395" t="s">
        <v>386</v>
      </c>
      <c r="E58" s="395"/>
      <c r="F58" s="297" t="s">
        <v>103</v>
      </c>
      <c r="G58" s="291">
        <f>194623.48-17992.27</f>
        <v>176631.21000000002</v>
      </c>
      <c r="H58" s="291">
        <v>319157.62</v>
      </c>
      <c r="I58" s="291"/>
      <c r="J58" s="318"/>
      <c r="K58" s="291">
        <v>295.52</v>
      </c>
      <c r="L58" s="293">
        <f t="shared" si="4"/>
        <v>496084.35000000003</v>
      </c>
    </row>
    <row r="59" spans="1:12" s="359" customFormat="1" ht="15">
      <c r="A59" s="281"/>
      <c r="B59" s="295">
        <v>27</v>
      </c>
      <c r="C59" s="296">
        <f t="shared" si="3"/>
        <v>10</v>
      </c>
      <c r="D59" s="395" t="s">
        <v>387</v>
      </c>
      <c r="E59" s="395"/>
      <c r="F59" s="297" t="s">
        <v>103</v>
      </c>
      <c r="G59" s="291">
        <v>301396.22</v>
      </c>
      <c r="H59" s="291"/>
      <c r="I59" s="291"/>
      <c r="J59" s="318"/>
      <c r="K59" s="291"/>
      <c r="L59" s="293">
        <f t="shared" si="4"/>
        <v>301396.22</v>
      </c>
    </row>
    <row r="60" spans="1:12" s="359" customFormat="1" ht="15">
      <c r="A60" s="281"/>
      <c r="B60" s="295">
        <v>28</v>
      </c>
      <c r="C60" s="296">
        <f t="shared" si="3"/>
        <v>10</v>
      </c>
      <c r="D60" s="395" t="s">
        <v>388</v>
      </c>
      <c r="E60" s="395"/>
      <c r="F60" s="297" t="s">
        <v>103</v>
      </c>
      <c r="G60" s="291">
        <v>38950.99</v>
      </c>
      <c r="H60" s="291"/>
      <c r="I60" s="291"/>
      <c r="J60" s="318"/>
      <c r="K60" s="291"/>
      <c r="L60" s="293">
        <f t="shared" si="4"/>
        <v>38950.99</v>
      </c>
    </row>
    <row r="61" spans="1:12" s="359" customFormat="1" ht="15">
      <c r="A61" s="281"/>
      <c r="B61" s="295">
        <v>29</v>
      </c>
      <c r="C61" s="296" t="str">
        <f t="shared" si="3"/>
        <v/>
      </c>
      <c r="D61" s="395"/>
      <c r="E61" s="395"/>
      <c r="F61" s="297"/>
      <c r="G61" s="291"/>
      <c r="H61" s="291"/>
      <c r="I61" s="291"/>
      <c r="J61" s="318"/>
      <c r="K61" s="291"/>
      <c r="L61" s="293">
        <f t="shared" si="4"/>
        <v>0</v>
      </c>
    </row>
    <row r="62" spans="1:12" s="359" customFormat="1" ht="15">
      <c r="A62" s="281"/>
      <c r="B62" s="295">
        <v>30</v>
      </c>
      <c r="C62" s="296" t="str">
        <f t="shared" si="3"/>
        <v/>
      </c>
      <c r="D62" s="395"/>
      <c r="E62" s="395"/>
      <c r="F62" s="297"/>
      <c r="G62" s="291"/>
      <c r="H62" s="291"/>
      <c r="I62" s="291"/>
      <c r="J62" s="318"/>
      <c r="K62" s="291"/>
      <c r="L62" s="293">
        <f t="shared" si="4"/>
        <v>0</v>
      </c>
    </row>
    <row r="63" spans="1:12" s="359" customFormat="1" ht="15">
      <c r="A63" s="281"/>
      <c r="B63" s="295">
        <v>31</v>
      </c>
      <c r="C63" s="296" t="str">
        <f t="shared" si="3"/>
        <v/>
      </c>
      <c r="D63" s="395"/>
      <c r="E63" s="395"/>
      <c r="F63" s="297"/>
      <c r="G63" s="291"/>
      <c r="H63" s="291"/>
      <c r="I63" s="291"/>
      <c r="J63" s="318"/>
      <c r="K63" s="291"/>
      <c r="L63" s="293">
        <f t="shared" si="4"/>
        <v>0</v>
      </c>
    </row>
    <row r="64" spans="1:12" s="359" customFormat="1" ht="15">
      <c r="A64" s="281"/>
      <c r="B64" s="295">
        <v>32</v>
      </c>
      <c r="C64" s="296" t="str">
        <f t="shared" si="3"/>
        <v/>
      </c>
      <c r="D64" s="395"/>
      <c r="E64" s="395"/>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c r="A66" s="281"/>
      <c r="B66" s="295">
        <v>34</v>
      </c>
      <c r="C66" s="296" t="str">
        <f t="shared" si="5"/>
        <v/>
      </c>
      <c r="D66" s="395"/>
      <c r="E66" s="395"/>
      <c r="F66" s="297"/>
      <c r="G66" s="291"/>
      <c r="H66" s="291"/>
      <c r="I66" s="291"/>
      <c r="J66" s="318"/>
      <c r="K66" s="291"/>
      <c r="L66" s="293">
        <f t="shared" si="4"/>
        <v>0</v>
      </c>
    </row>
    <row r="67" spans="1:12" s="359" customFormat="1" ht="15">
      <c r="A67" s="281"/>
      <c r="B67" s="295">
        <v>35</v>
      </c>
      <c r="C67" s="296" t="str">
        <f t="shared" si="5"/>
        <v/>
      </c>
      <c r="D67" s="395"/>
      <c r="E67" s="395"/>
      <c r="F67" s="297"/>
      <c r="G67" s="291"/>
      <c r="H67" s="291"/>
      <c r="I67" s="291"/>
      <c r="J67" s="318"/>
      <c r="K67" s="291"/>
      <c r="L67" s="293">
        <f t="shared" si="4"/>
        <v>0</v>
      </c>
    </row>
    <row r="68" spans="1:12" s="359" customFormat="1" ht="15">
      <c r="A68" s="281"/>
      <c r="B68" s="295">
        <v>36</v>
      </c>
      <c r="C68" s="296" t="str">
        <f t="shared" si="5"/>
        <v/>
      </c>
      <c r="D68" s="395"/>
      <c r="E68" s="395"/>
      <c r="F68" s="297"/>
      <c r="G68" s="291"/>
      <c r="H68" s="291"/>
      <c r="I68" s="291"/>
      <c r="J68" s="318"/>
      <c r="K68" s="291"/>
      <c r="L68" s="293">
        <f t="shared" si="4"/>
        <v>0</v>
      </c>
    </row>
    <row r="69" spans="1:12" s="359" customFormat="1" ht="15">
      <c r="A69" s="281"/>
      <c r="B69" s="295">
        <v>37</v>
      </c>
      <c r="C69" s="296" t="str">
        <f t="shared" si="5"/>
        <v/>
      </c>
      <c r="D69" s="395"/>
      <c r="E69" s="395"/>
      <c r="F69" s="297"/>
      <c r="G69" s="291"/>
      <c r="H69" s="291"/>
      <c r="I69" s="291"/>
      <c r="J69" s="318"/>
      <c r="K69" s="291"/>
      <c r="L69" s="293">
        <f t="shared" si="4"/>
        <v>0</v>
      </c>
    </row>
    <row r="70" spans="1:12" s="359" customFormat="1" ht="15">
      <c r="A70" s="281"/>
      <c r="B70" s="295">
        <v>38</v>
      </c>
      <c r="C70" s="296" t="str">
        <f t="shared" si="5"/>
        <v/>
      </c>
      <c r="D70" s="395"/>
      <c r="E70" s="395"/>
      <c r="F70" s="297"/>
      <c r="G70" s="291"/>
      <c r="H70" s="291"/>
      <c r="I70" s="291"/>
      <c r="J70" s="318"/>
      <c r="K70" s="291"/>
      <c r="L70" s="293">
        <f t="shared" si="4"/>
        <v>0</v>
      </c>
    </row>
    <row r="71" spans="1:12" s="359" customFormat="1" ht="15">
      <c r="A71" s="281"/>
      <c r="B71" s="295">
        <v>39</v>
      </c>
      <c r="C71" s="296" t="str">
        <f t="shared" si="5"/>
        <v/>
      </c>
      <c r="D71" s="395"/>
      <c r="E71" s="395"/>
      <c r="F71" s="297"/>
      <c r="G71" s="291"/>
      <c r="H71" s="291"/>
      <c r="I71" s="291"/>
      <c r="J71" s="318"/>
      <c r="K71" s="291"/>
      <c r="L71" s="293">
        <f t="shared" si="4"/>
        <v>0</v>
      </c>
    </row>
    <row r="72" spans="1:12" s="359" customFormat="1" ht="15">
      <c r="A72" s="281"/>
      <c r="B72" s="295">
        <v>40</v>
      </c>
      <c r="C72" s="296" t="str">
        <f t="shared" si="5"/>
        <v/>
      </c>
      <c r="D72" s="395"/>
      <c r="E72" s="395"/>
      <c r="F72" s="297"/>
      <c r="G72" s="291"/>
      <c r="H72" s="291"/>
      <c r="I72" s="291"/>
      <c r="J72" s="318"/>
      <c r="K72" s="291"/>
      <c r="L72" s="293">
        <f t="shared" si="4"/>
        <v>0</v>
      </c>
    </row>
    <row r="73" spans="1:12" s="359" customFormat="1" ht="15">
      <c r="A73" s="281"/>
      <c r="B73" s="295">
        <v>41</v>
      </c>
      <c r="C73" s="296" t="str">
        <f t="shared" si="5"/>
        <v/>
      </c>
      <c r="D73" s="395"/>
      <c r="E73" s="395"/>
      <c r="F73" s="297"/>
      <c r="G73" s="291"/>
      <c r="H73" s="291"/>
      <c r="I73" s="291"/>
      <c r="J73" s="318"/>
      <c r="K73" s="291"/>
      <c r="L73" s="293">
        <f t="shared" si="4"/>
        <v>0</v>
      </c>
    </row>
    <row r="74" spans="1:12" s="359" customFormat="1" ht="15">
      <c r="A74" s="281"/>
      <c r="B74" s="295">
        <v>42</v>
      </c>
      <c r="C74" s="296" t="str">
        <f t="shared" si="5"/>
        <v/>
      </c>
      <c r="D74" s="395"/>
      <c r="E74" s="395"/>
      <c r="F74" s="297"/>
      <c r="G74" s="291"/>
      <c r="H74" s="291"/>
      <c r="I74" s="291"/>
      <c r="J74" s="318"/>
      <c r="K74" s="291"/>
      <c r="L74" s="293">
        <f t="shared" si="4"/>
        <v>0</v>
      </c>
    </row>
    <row r="75" spans="1:12" s="359" customFormat="1" ht="15">
      <c r="A75" s="281"/>
      <c r="B75" s="295">
        <v>43</v>
      </c>
      <c r="C75" s="296" t="str">
        <f t="shared" si="5"/>
        <v/>
      </c>
      <c r="D75" s="395"/>
      <c r="E75" s="395"/>
      <c r="F75" s="297"/>
      <c r="G75" s="291"/>
      <c r="H75" s="291"/>
      <c r="I75" s="291"/>
      <c r="J75" s="318"/>
      <c r="K75" s="291"/>
      <c r="L75" s="293">
        <f t="shared" si="4"/>
        <v>0</v>
      </c>
    </row>
    <row r="76" spans="1:12" s="359" customFormat="1" ht="15">
      <c r="A76" s="281"/>
      <c r="B76" s="295">
        <v>44</v>
      </c>
      <c r="C76" s="296" t="str">
        <f t="shared" si="5"/>
        <v/>
      </c>
      <c r="D76" s="395"/>
      <c r="E76" s="395"/>
      <c r="F76" s="297"/>
      <c r="G76" s="291"/>
      <c r="H76" s="291"/>
      <c r="I76" s="291"/>
      <c r="J76" s="318"/>
      <c r="K76" s="291"/>
      <c r="L76" s="293">
        <f t="shared" si="4"/>
        <v>0</v>
      </c>
    </row>
    <row r="77" spans="1:12" ht="15">
      <c r="A77" s="281"/>
      <c r="B77" s="295">
        <v>45</v>
      </c>
      <c r="C77" s="296" t="str">
        <f t="shared" si="5"/>
        <v/>
      </c>
      <c r="D77" s="395"/>
      <c r="E77" s="395"/>
      <c r="F77" s="297"/>
      <c r="G77" s="291"/>
      <c r="H77" s="291"/>
      <c r="I77" s="291"/>
      <c r="J77" s="318"/>
      <c r="K77" s="291"/>
      <c r="L77" s="293">
        <f>SUM(G77:K77)</f>
        <v>0</v>
      </c>
    </row>
    <row r="78" spans="1:12" ht="15">
      <c r="A78" s="281"/>
      <c r="B78" s="295">
        <v>46</v>
      </c>
      <c r="C78" s="296" t="str">
        <f t="shared" si="5"/>
        <v/>
      </c>
      <c r="D78" s="395"/>
      <c r="E78" s="395"/>
      <c r="F78" s="297"/>
      <c r="G78" s="291"/>
      <c r="H78" s="291"/>
      <c r="I78" s="291"/>
      <c r="J78" s="318"/>
      <c r="K78" s="291"/>
      <c r="L78" s="293">
        <f t="shared" si="4"/>
        <v>0</v>
      </c>
    </row>
    <row r="79" spans="1:12" ht="15">
      <c r="A79" s="281"/>
      <c r="B79" s="295">
        <v>47</v>
      </c>
      <c r="C79" s="296" t="str">
        <f t="shared" si="5"/>
        <v/>
      </c>
      <c r="D79" s="395"/>
      <c r="E79" s="395"/>
      <c r="F79" s="297"/>
      <c r="G79" s="291"/>
      <c r="H79" s="291"/>
      <c r="I79" s="291"/>
      <c r="J79" s="318"/>
      <c r="K79" s="291"/>
      <c r="L79" s="293">
        <f t="shared" si="4"/>
        <v>0</v>
      </c>
    </row>
    <row r="80" spans="1:12" ht="15">
      <c r="A80" s="281"/>
      <c r="B80" s="295">
        <v>48</v>
      </c>
      <c r="C80" s="296" t="str">
        <f t="shared" si="5"/>
        <v/>
      </c>
      <c r="D80" s="395"/>
      <c r="E80" s="395"/>
      <c r="F80" s="297"/>
      <c r="G80" s="291"/>
      <c r="H80" s="291"/>
      <c r="I80" s="291"/>
      <c r="J80" s="318"/>
      <c r="K80" s="291"/>
      <c r="L80" s="293">
        <f t="shared" si="4"/>
        <v>0</v>
      </c>
    </row>
    <row r="81" spans="1:12" ht="15">
      <c r="A81" s="281"/>
      <c r="B81" s="295">
        <v>49</v>
      </c>
      <c r="C81" s="296" t="str">
        <f t="shared" si="5"/>
        <v/>
      </c>
      <c r="D81" s="395"/>
      <c r="E81" s="395"/>
      <c r="F81" s="297"/>
      <c r="G81" s="291"/>
      <c r="H81" s="291"/>
      <c r="I81" s="291"/>
      <c r="J81" s="318"/>
      <c r="K81" s="291"/>
      <c r="L81" s="293">
        <f t="shared" si="4"/>
        <v>0</v>
      </c>
    </row>
    <row r="82" spans="1:12" ht="15">
      <c r="A82" s="281"/>
      <c r="B82" s="295">
        <v>50</v>
      </c>
      <c r="C82" s="296" t="str">
        <f t="shared" si="5"/>
        <v/>
      </c>
      <c r="D82" s="401"/>
      <c r="E82" s="401"/>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59 F61:F132">
      <formula1>CSS_Service_Category</formula1>
    </dataValidation>
  </dataValidations>
  <printOptions/>
  <pageMargins left="0.25" right="0.25" top="1.12364583333333" bottom="0.75" header="0.3" footer="0.3"/>
  <pageSetup fitToHeight="1" fitToWidth="1" horizontalDpi="600" verticalDpi="600" orientation="landscape" paperSize="5" scale="20" r:id="rId1"/>
  <headerFooter>
    <oddFooter>&amp;C&amp;"Arial,Regular"&amp;14Page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136"/>
  <sheetViews>
    <sheetView showGridLines="0" tabSelected="1" zoomScale="70" zoomScaleNormal="70" zoomScaleSheetLayoutView="55" zoomScalePageLayoutView="80" workbookViewId="0" topLeftCell="A37">
      <selection activeCell="L51" sqref="L51"/>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38" t="s">
        <v>1</v>
      </c>
      <c r="C7" s="439"/>
      <c r="D7" s="9" t="str">
        <f>IF(ISBLANK('1. Information'!D8),"",'1. Information'!D8)</f>
        <v>Fresno</v>
      </c>
      <c r="F7" s="94" t="s">
        <v>2</v>
      </c>
      <c r="G7" s="109">
        <f>IF(ISBLANK('1. Information'!D7),"",'1. Information'!D7)</f>
        <v>43461</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38" t="s">
        <v>30</v>
      </c>
      <c r="H12" s="436"/>
      <c r="I12" s="436"/>
      <c r="J12" s="439"/>
      <c r="K12" s="303"/>
      <c r="L12"/>
      <c r="M12"/>
      <c r="N12"/>
      <c r="O12"/>
      <c r="P12"/>
      <c r="Q12"/>
      <c r="AL12" s="108"/>
      <c r="AM12" s="108"/>
      <c r="AN12" s="108"/>
    </row>
    <row r="13" spans="3:40" ht="47.25" customHeight="1">
      <c r="C13" s="450"/>
      <c r="D13" s="450"/>
      <c r="E13" s="450"/>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44" t="s">
        <v>3</v>
      </c>
      <c r="D14" s="444"/>
      <c r="E14" s="440"/>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4" t="s">
        <v>133</v>
      </c>
      <c r="D15" s="444"/>
      <c r="E15" s="440"/>
      <c r="F15" s="291"/>
      <c r="G15" s="353"/>
      <c r="H15" s="353"/>
      <c r="I15" s="353"/>
      <c r="J15" s="353"/>
      <c r="K15" s="292">
        <f aca="true" t="shared" si="0" ref="K15:K20">SUM(F15:J15)</f>
        <v>0</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1" t="s">
        <v>149</v>
      </c>
      <c r="D16" s="451"/>
      <c r="E16" s="452"/>
      <c r="F16" s="388">
        <v>298774.05</v>
      </c>
      <c r="G16" s="387"/>
      <c r="H16" s="387"/>
      <c r="I16" s="387"/>
      <c r="J16" s="387"/>
      <c r="K16" s="292">
        <f t="shared" si="0"/>
        <v>298774.05</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4" t="s">
        <v>228</v>
      </c>
      <c r="D17" s="444"/>
      <c r="E17" s="440"/>
      <c r="F17" s="291">
        <v>782341.92</v>
      </c>
      <c r="G17" s="387"/>
      <c r="H17" s="387"/>
      <c r="I17" s="387"/>
      <c r="J17" s="387"/>
      <c r="K17" s="292">
        <f t="shared" si="0"/>
        <v>782341.92</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4" t="s">
        <v>215</v>
      </c>
      <c r="D18" s="444"/>
      <c r="E18" s="440"/>
      <c r="F18" s="389"/>
      <c r="G18" s="403"/>
      <c r="H18" s="403"/>
      <c r="I18" s="403"/>
      <c r="J18" s="403"/>
      <c r="K18" s="292">
        <f t="shared" si="0"/>
        <v>0</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4" t="s">
        <v>217</v>
      </c>
      <c r="D19" s="444"/>
      <c r="E19" s="440"/>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43" t="s">
        <v>150</v>
      </c>
      <c r="D20" s="443"/>
      <c r="E20" s="443"/>
      <c r="F20" s="315">
        <f>SUMIF($G$36:$G$135,"Combined Summary",L$36:L$135)+SUMIF($F$36:$F$135,"Standalone",L$36:L$135)</f>
        <v>7702141.629999999</v>
      </c>
      <c r="G20" s="119">
        <f>SUMIF($G$36:$G$135,"Combined Summary",M$36:M$135)+SUMIF($F$36:$F$135,"Standalone",M$36:M$135)</f>
        <v>2174242.25</v>
      </c>
      <c r="H20" s="119">
        <f>SUMIF($G$36:$G$135,"Combined Summary",N$36:N$135)+SUMIF($F$36:$F$135,"Standalone",N$36:N$135)</f>
        <v>0</v>
      </c>
      <c r="I20" s="119">
        <f>SUMIF($G$36:$G$135,"Combined Summary",O$36:O$135)+SUMIF($F$36:$F$135,"Standalone",O$36:O$135)</f>
        <v>0</v>
      </c>
      <c r="J20" s="119">
        <f>SUMIF($G$36:$G$135,"Combined Summary",P$36:P$135)+SUMIF($F$36:$F$135,"Standalone",P$36:P$135)</f>
        <v>7568.73</v>
      </c>
      <c r="K20" s="293">
        <f t="shared" si="0"/>
        <v>9883952.61</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6" t="s">
        <v>229</v>
      </c>
      <c r="D21" s="456"/>
      <c r="E21" s="456"/>
      <c r="F21" s="8">
        <f>SUM(F14:F16,F19:F20)</f>
        <v>8000915.679999999</v>
      </c>
      <c r="G21" s="8">
        <f aca="true" t="shared" si="1" ref="G21:K21">SUM(G14:G16,G19:G20)</f>
        <v>2174242.25</v>
      </c>
      <c r="H21" s="8">
        <f t="shared" si="1"/>
        <v>0</v>
      </c>
      <c r="I21" s="8">
        <f t="shared" si="1"/>
        <v>0</v>
      </c>
      <c r="J21" s="8">
        <f t="shared" si="1"/>
        <v>7568.73</v>
      </c>
      <c r="K21" s="8">
        <f t="shared" si="1"/>
        <v>10182726.66</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5" t="s">
        <v>234</v>
      </c>
      <c r="G26" s="453" t="s">
        <v>233</v>
      </c>
      <c r="H26" s="110"/>
      <c r="I26" s="110"/>
      <c r="J26" s="110"/>
      <c r="K26" s="110"/>
      <c r="L26" s="110"/>
      <c r="M26" s="110"/>
      <c r="N26" s="110"/>
      <c r="O26" s="110"/>
      <c r="P26" s="110"/>
      <c r="Q26" s="110"/>
    </row>
    <row r="27" spans="2:17" ht="15" customHeight="1">
      <c r="B27" s="99"/>
      <c r="C27" s="99"/>
      <c r="D27" s="99"/>
      <c r="E27" s="99"/>
      <c r="F27" s="455"/>
      <c r="G27" s="453"/>
      <c r="H27" s="110"/>
      <c r="I27" s="110"/>
      <c r="J27" s="110"/>
      <c r="K27" s="110"/>
      <c r="L27" s="110"/>
      <c r="M27" s="110"/>
      <c r="N27" s="110"/>
      <c r="O27" s="110"/>
      <c r="P27" s="110"/>
      <c r="Q27" s="110"/>
    </row>
    <row r="28" spans="2:17" ht="15">
      <c r="B28" s="99"/>
      <c r="C28" s="99"/>
      <c r="D28" s="99"/>
      <c r="E28" s="99"/>
      <c r="F28" s="455"/>
      <c r="G28" s="454"/>
      <c r="H28" s="110"/>
      <c r="I28" s="110"/>
      <c r="J28" s="110"/>
      <c r="K28" s="110"/>
      <c r="L28" s="110"/>
      <c r="M28" s="110"/>
      <c r="N28" s="110"/>
      <c r="O28" s="110"/>
      <c r="P28" s="110"/>
      <c r="Q28" s="110"/>
    </row>
    <row r="29" spans="2:17" ht="51.75" customHeight="1">
      <c r="B29" s="130">
        <v>1</v>
      </c>
      <c r="C29" s="447" t="s">
        <v>245</v>
      </c>
      <c r="D29" s="448"/>
      <c r="E29" s="449"/>
      <c r="F29" s="10">
        <f>IF(F21=0,"",((SUMPRODUCT($K$36:$K$135,$L$36:$L$135)+(F19*G29))/$F$21))</f>
        <v>0.7253528131295094</v>
      </c>
      <c r="G29" s="79"/>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36" t="s">
        <v>165</v>
      </c>
      <c r="E34" s="436"/>
      <c r="F34" s="436"/>
      <c r="G34" s="436"/>
      <c r="H34" s="436"/>
      <c r="I34" s="436"/>
      <c r="J34" s="436"/>
      <c r="K34" s="436"/>
      <c r="L34" s="340" t="s">
        <v>28</v>
      </c>
      <c r="M34" s="438" t="s">
        <v>30</v>
      </c>
      <c r="N34" s="436"/>
      <c r="O34" s="436"/>
      <c r="P34" s="439"/>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30.75">
      <c r="B36" s="101">
        <v>1</v>
      </c>
      <c r="C36" s="132">
        <f>IF(AND(NOT(COUNTA(D36:J36)),(NOT(COUNTA(L36:P36)))),"",VLOOKUP($D$7,Info_County_Code,2,FALSE))</f>
        <v>10</v>
      </c>
      <c r="D36" s="395" t="s">
        <v>336</v>
      </c>
      <c r="E36" s="395" t="s">
        <v>327</v>
      </c>
      <c r="F36" s="416" t="s">
        <v>144</v>
      </c>
      <c r="G36" s="417" t="s">
        <v>230</v>
      </c>
      <c r="H36" s="125"/>
      <c r="I36" s="134">
        <v>1</v>
      </c>
      <c r="J36" s="134">
        <v>1</v>
      </c>
      <c r="K36" s="350">
        <f>IF(OR(G36="Combined Summary",F36="Standalone"),(SUMPRODUCT(--(D$36:D$135=D36),I$36:I$135,J$36:J$135)),"")</f>
        <v>1</v>
      </c>
      <c r="L36" s="291">
        <f>406168.34-25647.21</f>
        <v>380521.13</v>
      </c>
      <c r="M36" s="352"/>
      <c r="N36" s="116"/>
      <c r="O36" s="116"/>
      <c r="P36" s="116">
        <v>91.32</v>
      </c>
      <c r="Q36" s="351">
        <f>SUM(L36:P36)</f>
        <v>380612.45</v>
      </c>
      <c r="R36" s="409">
        <f>IF(OR(G36="Combined Summary",F36="Standalone"),(SUMIF(D$36:D$135,D36,I$36:I$135)),"")</f>
        <v>1</v>
      </c>
      <c r="S36" s="407" t="str">
        <f>IF(AND(F36="Standalone",NOT(R36=1)),"ERROR",IF(AND(G36="Combined Summary",NOT(R36=1)),"ERROR",""))</f>
        <v/>
      </c>
      <c r="AL36" s="108"/>
      <c r="AM36" s="108"/>
      <c r="AN36" s="108"/>
    </row>
    <row r="37" spans="2:40" ht="15">
      <c r="B37" s="363">
        <v>2</v>
      </c>
      <c r="C37" s="132">
        <f aca="true" t="shared" si="2" ref="C37:C67">IF(AND(NOT(COUNTA(D37:J37)),(NOT(COUNTA(L37:P37)))),"",VLOOKUP($D$7,Info_County_Code,2,FALSE))</f>
        <v>10</v>
      </c>
      <c r="D37" s="395"/>
      <c r="E37" s="395"/>
      <c r="F37" s="416"/>
      <c r="G37" s="417" t="s">
        <v>132</v>
      </c>
      <c r="H37" s="416" t="s">
        <v>132</v>
      </c>
      <c r="I37" s="134">
        <v>0.5</v>
      </c>
      <c r="J37" s="134">
        <v>1</v>
      </c>
      <c r="K37" s="350" t="str">
        <f aca="true" t="shared" si="3" ref="K37:K100">IF(OR(G37="Combined Summary",F37="Standalone"),(SUMPRODUCT(--(D$36:D$135=D37),I$36:I$135,J$36:J$135)),"")</f>
        <v/>
      </c>
      <c r="L37" s="291"/>
      <c r="M37" s="352"/>
      <c r="N37" s="116"/>
      <c r="O37" s="116"/>
      <c r="P37" s="116"/>
      <c r="Q37" s="351">
        <f aca="true" t="shared" si="4" ref="Q37:Q100">SUM(L37:P37)</f>
        <v>0</v>
      </c>
      <c r="R37" s="409" t="str">
        <f aca="true" t="shared" si="5" ref="R37:R100">IF(OR(G37="Combined Summary",F37="Standalone"),(SUMIF(D$36:D$135,D37,I$36:I$135)),"")</f>
        <v/>
      </c>
      <c r="S37" s="407" t="str">
        <f aca="true" t="shared" si="6" ref="S37:S100">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10</v>
      </c>
      <c r="D38" s="395"/>
      <c r="E38" s="395"/>
      <c r="F38" s="416"/>
      <c r="G38" s="417" t="s">
        <v>148</v>
      </c>
      <c r="H38" s="416" t="s">
        <v>148</v>
      </c>
      <c r="I38" s="134">
        <v>0.5</v>
      </c>
      <c r="J38" s="134">
        <v>1</v>
      </c>
      <c r="K38" s="350" t="str">
        <f t="shared" si="3"/>
        <v/>
      </c>
      <c r="L38" s="291"/>
      <c r="M38" s="352"/>
      <c r="N38" s="116"/>
      <c r="O38" s="116"/>
      <c r="P38" s="116"/>
      <c r="Q38" s="351">
        <f t="shared" si="4"/>
        <v>0</v>
      </c>
      <c r="R38" s="409" t="str">
        <f t="shared" si="5"/>
        <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f t="shared" si="2"/>
        <v>10</v>
      </c>
      <c r="D39" s="395" t="s">
        <v>342</v>
      </c>
      <c r="E39" s="395"/>
      <c r="F39" s="125" t="s">
        <v>143</v>
      </c>
      <c r="G39" s="107" t="s">
        <v>136</v>
      </c>
      <c r="H39" s="125"/>
      <c r="I39" s="134">
        <v>1</v>
      </c>
      <c r="J39" s="134">
        <v>1</v>
      </c>
      <c r="K39" s="350">
        <f t="shared" si="3"/>
        <v>1</v>
      </c>
      <c r="L39" s="291">
        <f>1458201.84-384311.1</f>
        <v>1073890.7400000002</v>
      </c>
      <c r="M39" s="352">
        <v>14199.06</v>
      </c>
      <c r="N39" s="116"/>
      <c r="O39" s="116"/>
      <c r="P39" s="116"/>
      <c r="Q39" s="351">
        <f t="shared" si="4"/>
        <v>1088089.8000000003</v>
      </c>
      <c r="R39" s="409">
        <f t="shared" si="5"/>
        <v>1</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f t="shared" si="2"/>
        <v>10</v>
      </c>
      <c r="D40" s="395" t="s">
        <v>343</v>
      </c>
      <c r="E40" s="395"/>
      <c r="F40" s="125" t="s">
        <v>143</v>
      </c>
      <c r="G40" s="107" t="s">
        <v>136</v>
      </c>
      <c r="H40" s="125"/>
      <c r="I40" s="134">
        <v>1</v>
      </c>
      <c r="J40" s="134">
        <v>1</v>
      </c>
      <c r="K40" s="350">
        <f t="shared" si="3"/>
        <v>1</v>
      </c>
      <c r="L40" s="291">
        <v>384311.1</v>
      </c>
      <c r="M40" s="352"/>
      <c r="N40" s="116"/>
      <c r="O40" s="116"/>
      <c r="P40" s="116"/>
      <c r="Q40" s="351">
        <f t="shared" si="4"/>
        <v>384311.1</v>
      </c>
      <c r="R40" s="409">
        <f t="shared" si="5"/>
        <v>1</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f t="shared" si="2"/>
        <v>10</v>
      </c>
      <c r="D41" s="395" t="s">
        <v>335</v>
      </c>
      <c r="E41" s="395"/>
      <c r="F41" s="125" t="s">
        <v>143</v>
      </c>
      <c r="G41" s="107" t="s">
        <v>132</v>
      </c>
      <c r="H41" s="125"/>
      <c r="I41" s="134">
        <v>1</v>
      </c>
      <c r="J41" s="134">
        <v>0.41</v>
      </c>
      <c r="K41" s="350">
        <f t="shared" si="3"/>
        <v>0.41</v>
      </c>
      <c r="L41" s="291">
        <f>1326279.31-264643.08</f>
        <v>1061636.23</v>
      </c>
      <c r="M41" s="352">
        <f>235435.12+65410.47</f>
        <v>300845.58999999997</v>
      </c>
      <c r="N41" s="116"/>
      <c r="O41" s="116"/>
      <c r="P41" s="116">
        <f>608-74</f>
        <v>534</v>
      </c>
      <c r="Q41" s="351">
        <f t="shared" si="4"/>
        <v>1363015.8199999998</v>
      </c>
      <c r="R41" s="409">
        <f t="shared" si="5"/>
        <v>1</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30.75">
      <c r="B42" s="363">
        <v>7</v>
      </c>
      <c r="C42" s="132">
        <f t="shared" si="2"/>
        <v>10</v>
      </c>
      <c r="D42" s="395" t="s">
        <v>337</v>
      </c>
      <c r="E42" s="395"/>
      <c r="F42" s="125" t="s">
        <v>143</v>
      </c>
      <c r="G42" s="107" t="s">
        <v>145</v>
      </c>
      <c r="H42" s="125"/>
      <c r="I42" s="134">
        <v>1</v>
      </c>
      <c r="J42" s="134">
        <v>0.1</v>
      </c>
      <c r="K42" s="350">
        <f t="shared" si="3"/>
        <v>0.1</v>
      </c>
      <c r="L42" s="291">
        <v>594124.32</v>
      </c>
      <c r="M42" s="352"/>
      <c r="N42" s="116"/>
      <c r="O42" s="116"/>
      <c r="P42" s="116"/>
      <c r="Q42" s="351">
        <f t="shared" si="4"/>
        <v>594124.32</v>
      </c>
      <c r="R42" s="409">
        <f t="shared" si="5"/>
        <v>1</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f t="shared" si="2"/>
        <v>10</v>
      </c>
      <c r="D43" s="395" t="s">
        <v>338</v>
      </c>
      <c r="E43" s="395" t="s">
        <v>339</v>
      </c>
      <c r="F43" s="125" t="s">
        <v>143</v>
      </c>
      <c r="G43" s="107" t="s">
        <v>137</v>
      </c>
      <c r="H43" s="125"/>
      <c r="I43" s="134">
        <v>1</v>
      </c>
      <c r="J43" s="134">
        <v>1</v>
      </c>
      <c r="K43" s="350">
        <f t="shared" si="3"/>
        <v>1</v>
      </c>
      <c r="L43" s="291">
        <f>1450531.39-90107.81</f>
        <v>1360423.5799999998</v>
      </c>
      <c r="M43" s="352">
        <v>367685.68</v>
      </c>
      <c r="N43" s="116"/>
      <c r="O43" s="116"/>
      <c r="P43" s="116">
        <v>37</v>
      </c>
      <c r="Q43" s="351">
        <f t="shared" si="4"/>
        <v>1728146.2599999998</v>
      </c>
      <c r="R43" s="409">
        <f t="shared" si="5"/>
        <v>1</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30.75">
      <c r="B44" s="363">
        <v>9</v>
      </c>
      <c r="C44" s="132">
        <f aca="true" t="shared" si="7" ref="C44:C53">IF(AND(NOT(COUNTA(D44:J44)),(NOT(COUNTA(L44:P44)))),"",VLOOKUP($D$7,Info_County_Code,2,FALSE))</f>
        <v>10</v>
      </c>
      <c r="D44" s="395" t="s">
        <v>344</v>
      </c>
      <c r="E44" s="395"/>
      <c r="F44" s="125" t="s">
        <v>143</v>
      </c>
      <c r="G44" s="107" t="s">
        <v>137</v>
      </c>
      <c r="H44" s="125"/>
      <c r="I44" s="134">
        <v>1</v>
      </c>
      <c r="J44" s="134">
        <v>0.44</v>
      </c>
      <c r="K44" s="350">
        <f aca="true" t="shared" si="8" ref="K44:K53">IF(OR(G44="Combined Summary",F44="Standalone"),(SUMPRODUCT(--(D$36:D$135=D44),I$36:I$135,J$36:J$135)),"")</f>
        <v>0.44</v>
      </c>
      <c r="L44" s="291">
        <v>17036.57</v>
      </c>
      <c r="M44" s="352"/>
      <c r="N44" s="116"/>
      <c r="O44" s="116"/>
      <c r="P44" s="116"/>
      <c r="Q44" s="351">
        <f>SUM(L44:P44)</f>
        <v>17036.57</v>
      </c>
      <c r="R44" s="409">
        <f aca="true" t="shared" si="9" ref="R44:R53">IF(OR(G44="Combined Summary",F44="Standalone"),(SUMIF(D$36:D$135,D44,I$36:I$135)),"")</f>
        <v>1</v>
      </c>
      <c r="S44" s="407" t="str">
        <f aca="true" t="shared" si="10" ref="S44:S53">IF(AND(F44="Standalone",NOT(R44=1)),"ERROR",IF(AND(G44="Combined Summary",NOT(R44=1)),"ERROR",""))</f>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f t="shared" si="7"/>
        <v>10</v>
      </c>
      <c r="D45" s="395" t="s">
        <v>340</v>
      </c>
      <c r="E45" s="395"/>
      <c r="F45" s="125" t="s">
        <v>144</v>
      </c>
      <c r="G45" s="107" t="s">
        <v>230</v>
      </c>
      <c r="H45" s="125"/>
      <c r="I45" s="134">
        <v>1</v>
      </c>
      <c r="J45" s="134">
        <v>0.27</v>
      </c>
      <c r="K45" s="350">
        <f t="shared" si="8"/>
        <v>0.27</v>
      </c>
      <c r="L45" s="291">
        <v>630855.2</v>
      </c>
      <c r="M45" s="352"/>
      <c r="N45" s="116"/>
      <c r="O45" s="116"/>
      <c r="P45" s="116"/>
      <c r="Q45" s="351">
        <f t="shared" si="4"/>
        <v>630855.2</v>
      </c>
      <c r="R45" s="409">
        <f t="shared" si="9"/>
        <v>1</v>
      </c>
      <c r="S45" s="407" t="str">
        <f t="shared" si="10"/>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f t="shared" si="7"/>
        <v>10</v>
      </c>
      <c r="D46" s="395"/>
      <c r="E46" s="395"/>
      <c r="F46" s="125"/>
      <c r="G46" s="107" t="s">
        <v>145</v>
      </c>
      <c r="H46" s="416" t="s">
        <v>145</v>
      </c>
      <c r="I46" s="134">
        <v>0.8</v>
      </c>
      <c r="J46" s="134">
        <v>0.27</v>
      </c>
      <c r="K46" s="350" t="str">
        <f t="shared" si="8"/>
        <v/>
      </c>
      <c r="L46" s="291"/>
      <c r="M46" s="352"/>
      <c r="N46" s="116"/>
      <c r="O46" s="116"/>
      <c r="P46" s="116"/>
      <c r="Q46" s="351">
        <f t="shared" si="4"/>
        <v>0</v>
      </c>
      <c r="R46" s="409" t="str">
        <f t="shared" si="9"/>
        <v/>
      </c>
      <c r="S46" s="407" t="str">
        <f t="shared" si="10"/>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f t="shared" si="7"/>
        <v>10</v>
      </c>
      <c r="D47" s="395"/>
      <c r="E47" s="395"/>
      <c r="F47" s="125"/>
      <c r="G47" s="107" t="s">
        <v>148</v>
      </c>
      <c r="H47" s="416" t="s">
        <v>148</v>
      </c>
      <c r="I47" s="134">
        <v>0.2</v>
      </c>
      <c r="J47" s="134">
        <v>0.27</v>
      </c>
      <c r="K47" s="350" t="str">
        <f t="shared" si="8"/>
        <v/>
      </c>
      <c r="L47" s="291"/>
      <c r="M47" s="352"/>
      <c r="N47" s="116"/>
      <c r="O47" s="116"/>
      <c r="P47" s="116"/>
      <c r="Q47" s="351">
        <f t="shared" si="4"/>
        <v>0</v>
      </c>
      <c r="R47" s="409" t="str">
        <f t="shared" si="9"/>
        <v/>
      </c>
      <c r="S47" s="407" t="str">
        <f t="shared" si="10"/>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f t="shared" si="7"/>
        <v>10</v>
      </c>
      <c r="D48" s="395" t="s">
        <v>330</v>
      </c>
      <c r="E48" s="395" t="s">
        <v>331</v>
      </c>
      <c r="F48" s="125" t="s">
        <v>143</v>
      </c>
      <c r="G48" s="107" t="s">
        <v>137</v>
      </c>
      <c r="H48" s="125"/>
      <c r="I48" s="134">
        <v>1</v>
      </c>
      <c r="J48" s="134">
        <v>1</v>
      </c>
      <c r="K48" s="350">
        <f t="shared" si="8"/>
        <v>1</v>
      </c>
      <c r="L48" s="291">
        <f>647888.85-47040.55</f>
        <v>600848.2999999999</v>
      </c>
      <c r="M48" s="352">
        <v>1491511.92</v>
      </c>
      <c r="N48" s="116"/>
      <c r="O48" s="116"/>
      <c r="P48" s="116">
        <f>9574.25-2667.84</f>
        <v>6906.41</v>
      </c>
      <c r="Q48" s="351">
        <f t="shared" si="4"/>
        <v>2099266.63</v>
      </c>
      <c r="R48" s="409">
        <f t="shared" si="9"/>
        <v>1</v>
      </c>
      <c r="S48" s="407" t="str">
        <f t="shared" si="10"/>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30.75">
      <c r="B49" s="363">
        <v>14</v>
      </c>
      <c r="C49" s="132">
        <f t="shared" si="7"/>
        <v>10</v>
      </c>
      <c r="D49" s="395" t="s">
        <v>332</v>
      </c>
      <c r="E49" s="395"/>
      <c r="F49" s="125" t="s">
        <v>143</v>
      </c>
      <c r="G49" s="107" t="s">
        <v>145</v>
      </c>
      <c r="H49" s="125"/>
      <c r="I49" s="134">
        <v>1</v>
      </c>
      <c r="J49" s="134">
        <v>1</v>
      </c>
      <c r="K49" s="350">
        <f t="shared" si="8"/>
        <v>1</v>
      </c>
      <c r="L49" s="291">
        <v>442475.14</v>
      </c>
      <c r="M49" s="352"/>
      <c r="N49" s="116"/>
      <c r="O49" s="116"/>
      <c r="P49" s="116"/>
      <c r="Q49" s="351">
        <f t="shared" si="4"/>
        <v>442475.14</v>
      </c>
      <c r="R49" s="409">
        <f t="shared" si="9"/>
        <v>1</v>
      </c>
      <c r="S49" s="407" t="str">
        <f t="shared" si="10"/>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f t="shared" si="7"/>
        <v>10</v>
      </c>
      <c r="D50" s="395" t="s">
        <v>333</v>
      </c>
      <c r="E50" s="395" t="s">
        <v>334</v>
      </c>
      <c r="F50" s="125" t="s">
        <v>143</v>
      </c>
      <c r="G50" s="107" t="s">
        <v>136</v>
      </c>
      <c r="H50" s="125"/>
      <c r="I50" s="134">
        <v>1</v>
      </c>
      <c r="J50" s="134">
        <v>0.1</v>
      </c>
      <c r="K50" s="350">
        <f t="shared" si="8"/>
        <v>0.1</v>
      </c>
      <c r="L50" s="291">
        <v>297236.55</v>
      </c>
      <c r="M50" s="352"/>
      <c r="N50" s="116"/>
      <c r="O50" s="116"/>
      <c r="P50" s="116"/>
      <c r="Q50" s="351">
        <f t="shared" si="4"/>
        <v>297236.55</v>
      </c>
      <c r="R50" s="409">
        <f t="shared" si="9"/>
        <v>1</v>
      </c>
      <c r="S50" s="407" t="str">
        <f t="shared" si="10"/>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f t="shared" si="7"/>
        <v>10</v>
      </c>
      <c r="D51" s="395" t="s">
        <v>341</v>
      </c>
      <c r="E51" s="395"/>
      <c r="F51" s="125" t="s">
        <v>143</v>
      </c>
      <c r="G51" s="107" t="s">
        <v>136</v>
      </c>
      <c r="H51" s="125"/>
      <c r="I51" s="134">
        <v>1</v>
      </c>
      <c r="J51" s="134">
        <v>1</v>
      </c>
      <c r="K51" s="350">
        <f t="shared" si="8"/>
        <v>1</v>
      </c>
      <c r="L51" s="291">
        <v>858782.77</v>
      </c>
      <c r="M51" s="352"/>
      <c r="N51" s="116"/>
      <c r="O51" s="116"/>
      <c r="P51" s="116"/>
      <c r="Q51" s="351">
        <f t="shared" si="4"/>
        <v>858782.77</v>
      </c>
      <c r="R51" s="409">
        <f t="shared" si="9"/>
        <v>1</v>
      </c>
      <c r="S51" s="407" t="str">
        <f t="shared" si="10"/>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7"/>
        <v/>
      </c>
      <c r="D52" s="395"/>
      <c r="E52" s="395"/>
      <c r="F52" s="125"/>
      <c r="G52" s="107"/>
      <c r="H52" s="125"/>
      <c r="I52" s="134"/>
      <c r="J52" s="134"/>
      <c r="K52" s="350" t="str">
        <f t="shared" si="8"/>
        <v/>
      </c>
      <c r="L52" s="291"/>
      <c r="M52" s="352"/>
      <c r="N52" s="116"/>
      <c r="O52" s="116"/>
      <c r="P52" s="116"/>
      <c r="Q52" s="351">
        <f t="shared" si="4"/>
        <v>0</v>
      </c>
      <c r="R52" s="409" t="str">
        <f t="shared" si="9"/>
        <v/>
      </c>
      <c r="S52" s="407" t="str">
        <f t="shared" si="10"/>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7"/>
        <v/>
      </c>
      <c r="D53" s="395"/>
      <c r="E53" s="395"/>
      <c r="F53" s="125"/>
      <c r="G53" s="107"/>
      <c r="H53" s="125"/>
      <c r="I53" s="134"/>
      <c r="J53" s="134"/>
      <c r="K53" s="350" t="str">
        <f t="shared" si="8"/>
        <v/>
      </c>
      <c r="L53" s="291"/>
      <c r="M53" s="352"/>
      <c r="N53" s="116"/>
      <c r="O53" s="116"/>
      <c r="P53" s="116"/>
      <c r="Q53" s="351">
        <f t="shared" si="4"/>
        <v>0</v>
      </c>
      <c r="R53" s="409" t="str">
        <f t="shared" si="9"/>
        <v/>
      </c>
      <c r="S53" s="407" t="str">
        <f t="shared" si="10"/>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11"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11"/>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11"/>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11"/>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11"/>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11"/>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11"/>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11"/>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11"/>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11"/>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11"/>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11"/>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11"/>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11"/>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11"/>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11"/>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11"/>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11"/>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11"/>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11"/>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11"/>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11"/>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11"/>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11"/>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11"/>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11"/>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c r="B94" s="363">
        <v>59</v>
      </c>
      <c r="C94" s="132" t="str">
        <f t="shared" si="11"/>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c r="B95" s="363">
        <v>60</v>
      </c>
      <c r="C95" s="132" t="str">
        <f t="shared" si="11"/>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c r="B96" s="363">
        <v>61</v>
      </c>
      <c r="C96" s="132" t="str">
        <f t="shared" si="11"/>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c r="B97" s="363">
        <v>62</v>
      </c>
      <c r="C97" s="132" t="str">
        <f t="shared" si="11"/>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c r="B98" s="363">
        <v>63</v>
      </c>
      <c r="C98" s="132" t="str">
        <f t="shared" si="11"/>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c r="B99" s="363">
        <v>64</v>
      </c>
      <c r="C99" s="132" t="str">
        <f t="shared" si="11"/>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c r="B100" s="363">
        <v>65</v>
      </c>
      <c r="C100" s="132" t="str">
        <f aca="true" t="shared" si="12"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c r="B101" s="363">
        <v>66</v>
      </c>
      <c r="C101" s="132" t="str">
        <f t="shared" si="12"/>
        <v/>
      </c>
      <c r="D101" s="395"/>
      <c r="E101" s="395"/>
      <c r="F101" s="125"/>
      <c r="G101" s="107"/>
      <c r="H101" s="107"/>
      <c r="I101" s="134"/>
      <c r="J101" s="134"/>
      <c r="K101" s="350" t="str">
        <f aca="true" t="shared" si="13" ref="K101:K135">IF(OR(G101="Combined Summary",F101="Standalone"),(SUMPRODUCT(--(D$36:D$135=D101),I$36:I$135,J$36:J$135)),"")</f>
        <v/>
      </c>
      <c r="L101" s="291"/>
      <c r="M101" s="352"/>
      <c r="N101" s="116"/>
      <c r="O101" s="116"/>
      <c r="P101" s="116"/>
      <c r="Q101" s="351">
        <f aca="true" t="shared" si="14" ref="Q101:Q106">SUM(L101:P101)</f>
        <v>0</v>
      </c>
      <c r="R101" s="409" t="str">
        <f aca="true" t="shared" si="15" ref="R101:R135">IF(OR(G101="Combined Summary",F101="Standalone"),(SUMIF(D$36:D$135,D101,I$36:I$135)),"")</f>
        <v/>
      </c>
      <c r="S101" s="407" t="str">
        <f aca="true" t="shared" si="16" ref="S101:S135">IF(AND(F101="Standalone",NOT(R101=1)),"ERROR",IF(AND(G101="Combined Summary",NOT(R101=1)),"ERROR",""))</f>
        <v/>
      </c>
      <c r="AL101" s="108"/>
      <c r="AM101" s="108"/>
      <c r="AN101" s="108"/>
    </row>
    <row r="102" spans="2:40" ht="15">
      <c r="B102" s="363">
        <v>67</v>
      </c>
      <c r="C102" s="132" t="str">
        <f t="shared" si="12"/>
        <v/>
      </c>
      <c r="D102" s="395"/>
      <c r="E102" s="395"/>
      <c r="F102" s="125"/>
      <c r="G102" s="107"/>
      <c r="H102" s="107"/>
      <c r="I102" s="134"/>
      <c r="J102" s="134"/>
      <c r="K102" s="350" t="str">
        <f t="shared" si="13"/>
        <v/>
      </c>
      <c r="L102" s="291"/>
      <c r="M102" s="352"/>
      <c r="N102" s="116"/>
      <c r="O102" s="116"/>
      <c r="P102" s="116"/>
      <c r="Q102" s="351">
        <f t="shared" si="14"/>
        <v>0</v>
      </c>
      <c r="R102" s="409" t="str">
        <f t="shared" si="15"/>
        <v/>
      </c>
      <c r="S102" s="407" t="str">
        <f t="shared" si="16"/>
        <v/>
      </c>
      <c r="AL102" s="108"/>
      <c r="AM102" s="108"/>
      <c r="AN102" s="108"/>
    </row>
    <row r="103" spans="2:40" ht="15">
      <c r="B103" s="363">
        <v>68</v>
      </c>
      <c r="C103" s="132" t="str">
        <f t="shared" si="12"/>
        <v/>
      </c>
      <c r="D103" s="395"/>
      <c r="E103" s="395"/>
      <c r="F103" s="125"/>
      <c r="G103" s="107"/>
      <c r="H103" s="107"/>
      <c r="I103" s="134"/>
      <c r="J103" s="134"/>
      <c r="K103" s="350" t="str">
        <f t="shared" si="13"/>
        <v/>
      </c>
      <c r="L103" s="291"/>
      <c r="M103" s="352"/>
      <c r="N103" s="116"/>
      <c r="O103" s="116"/>
      <c r="P103" s="116"/>
      <c r="Q103" s="351">
        <f t="shared" si="14"/>
        <v>0</v>
      </c>
      <c r="R103" s="409" t="str">
        <f t="shared" si="15"/>
        <v/>
      </c>
      <c r="S103" s="407" t="str">
        <f t="shared" si="16"/>
        <v/>
      </c>
      <c r="AL103" s="108"/>
      <c r="AM103" s="108"/>
      <c r="AN103" s="108"/>
    </row>
    <row r="104" spans="2:40" ht="15">
      <c r="B104" s="363">
        <v>69</v>
      </c>
      <c r="C104" s="132" t="str">
        <f t="shared" si="12"/>
        <v/>
      </c>
      <c r="D104" s="395"/>
      <c r="E104" s="395"/>
      <c r="F104" s="125"/>
      <c r="G104" s="107"/>
      <c r="H104" s="107"/>
      <c r="I104" s="134"/>
      <c r="J104" s="134"/>
      <c r="K104" s="350" t="str">
        <f t="shared" si="13"/>
        <v/>
      </c>
      <c r="L104" s="291"/>
      <c r="M104" s="352"/>
      <c r="N104" s="116"/>
      <c r="O104" s="116"/>
      <c r="P104" s="116"/>
      <c r="Q104" s="351">
        <f t="shared" si="14"/>
        <v>0</v>
      </c>
      <c r="R104" s="409" t="str">
        <f t="shared" si="15"/>
        <v/>
      </c>
      <c r="S104" s="407" t="str">
        <f t="shared" si="16"/>
        <v/>
      </c>
      <c r="AL104" s="108"/>
      <c r="AM104" s="108"/>
      <c r="AN104" s="108"/>
    </row>
    <row r="105" spans="2:40" ht="15">
      <c r="B105" s="363">
        <v>70</v>
      </c>
      <c r="C105" s="132" t="str">
        <f t="shared" si="12"/>
        <v/>
      </c>
      <c r="D105" s="395"/>
      <c r="E105" s="395"/>
      <c r="F105" s="125"/>
      <c r="G105" s="107"/>
      <c r="H105" s="107"/>
      <c r="I105" s="134"/>
      <c r="J105" s="134"/>
      <c r="K105" s="350" t="str">
        <f t="shared" si="13"/>
        <v/>
      </c>
      <c r="L105" s="291"/>
      <c r="M105" s="352"/>
      <c r="N105" s="116"/>
      <c r="O105" s="116"/>
      <c r="P105" s="116"/>
      <c r="Q105" s="351">
        <f t="shared" si="14"/>
        <v>0</v>
      </c>
      <c r="R105" s="409" t="str">
        <f t="shared" si="15"/>
        <v/>
      </c>
      <c r="S105" s="407" t="str">
        <f t="shared" si="16"/>
        <v/>
      </c>
      <c r="AL105" s="108"/>
      <c r="AM105" s="108"/>
      <c r="AN105" s="108"/>
    </row>
    <row r="106" spans="2:40" ht="15">
      <c r="B106" s="363">
        <v>71</v>
      </c>
      <c r="C106" s="132" t="str">
        <f t="shared" si="12"/>
        <v/>
      </c>
      <c r="D106" s="395"/>
      <c r="E106" s="395"/>
      <c r="F106" s="125"/>
      <c r="G106" s="107"/>
      <c r="H106" s="107"/>
      <c r="I106" s="134"/>
      <c r="J106" s="134"/>
      <c r="K106" s="350" t="str">
        <f t="shared" si="13"/>
        <v/>
      </c>
      <c r="L106" s="291"/>
      <c r="M106" s="352"/>
      <c r="N106" s="116"/>
      <c r="O106" s="116"/>
      <c r="P106" s="116"/>
      <c r="Q106" s="351">
        <f t="shared" si="14"/>
        <v>0</v>
      </c>
      <c r="R106" s="409" t="str">
        <f t="shared" si="15"/>
        <v/>
      </c>
      <c r="S106" s="407" t="str">
        <f t="shared" si="16"/>
        <v/>
      </c>
      <c r="AL106" s="108"/>
      <c r="AM106" s="108"/>
      <c r="AN106" s="108"/>
    </row>
    <row r="107" spans="2:40" ht="15">
      <c r="B107" s="363">
        <v>72</v>
      </c>
      <c r="C107" s="132" t="str">
        <f t="shared" si="12"/>
        <v/>
      </c>
      <c r="D107" s="395"/>
      <c r="E107" s="395"/>
      <c r="F107" s="125"/>
      <c r="G107" s="107"/>
      <c r="H107" s="107"/>
      <c r="I107" s="134"/>
      <c r="J107" s="134"/>
      <c r="K107" s="350" t="str">
        <f t="shared" si="13"/>
        <v/>
      </c>
      <c r="L107" s="291"/>
      <c r="M107" s="352"/>
      <c r="N107" s="116"/>
      <c r="O107" s="116"/>
      <c r="P107" s="116"/>
      <c r="Q107" s="351">
        <f>SUM(L107:P107)</f>
        <v>0</v>
      </c>
      <c r="R107" s="409" t="str">
        <f t="shared" si="15"/>
        <v/>
      </c>
      <c r="S107" s="407" t="str">
        <f t="shared" si="16"/>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12"/>
        <v/>
      </c>
      <c r="D108" s="395"/>
      <c r="E108" s="395"/>
      <c r="F108" s="125"/>
      <c r="G108" s="107"/>
      <c r="H108" s="107"/>
      <c r="I108" s="134"/>
      <c r="J108" s="134"/>
      <c r="K108" s="350" t="str">
        <f t="shared" si="13"/>
        <v/>
      </c>
      <c r="L108" s="291"/>
      <c r="M108" s="352"/>
      <c r="N108" s="116"/>
      <c r="O108" s="116"/>
      <c r="P108" s="116"/>
      <c r="Q108" s="351">
        <f aca="true" t="shared" si="17" ref="Q108:Q122">SUM(L108:P108)</f>
        <v>0</v>
      </c>
      <c r="R108" s="409" t="str">
        <f t="shared" si="15"/>
        <v/>
      </c>
      <c r="S108" s="407" t="str">
        <f t="shared" si="16"/>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12"/>
        <v/>
      </c>
      <c r="D109" s="395"/>
      <c r="E109" s="395"/>
      <c r="F109" s="125"/>
      <c r="G109" s="107"/>
      <c r="H109" s="107"/>
      <c r="I109" s="134"/>
      <c r="J109" s="134"/>
      <c r="K109" s="350" t="str">
        <f t="shared" si="13"/>
        <v/>
      </c>
      <c r="L109" s="291"/>
      <c r="M109" s="352"/>
      <c r="N109" s="116"/>
      <c r="O109" s="116"/>
      <c r="P109" s="116"/>
      <c r="Q109" s="351">
        <f t="shared" si="17"/>
        <v>0</v>
      </c>
      <c r="R109" s="409" t="str">
        <f t="shared" si="15"/>
        <v/>
      </c>
      <c r="S109" s="407" t="str">
        <f t="shared" si="16"/>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12"/>
        <v/>
      </c>
      <c r="D110" s="395"/>
      <c r="E110" s="395"/>
      <c r="F110" s="125"/>
      <c r="G110" s="107"/>
      <c r="H110" s="107"/>
      <c r="I110" s="134"/>
      <c r="J110" s="134"/>
      <c r="K110" s="350" t="str">
        <f t="shared" si="13"/>
        <v/>
      </c>
      <c r="L110" s="291"/>
      <c r="M110" s="352"/>
      <c r="N110" s="116"/>
      <c r="O110" s="116"/>
      <c r="P110" s="116"/>
      <c r="Q110" s="351">
        <f t="shared" si="17"/>
        <v>0</v>
      </c>
      <c r="R110" s="409" t="str">
        <f t="shared" si="15"/>
        <v/>
      </c>
      <c r="S110" s="407" t="str">
        <f t="shared" si="16"/>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12"/>
        <v/>
      </c>
      <c r="D111" s="395"/>
      <c r="E111" s="395"/>
      <c r="F111" s="125"/>
      <c r="G111" s="107"/>
      <c r="H111" s="107"/>
      <c r="I111" s="134"/>
      <c r="J111" s="134"/>
      <c r="K111" s="350" t="str">
        <f t="shared" si="13"/>
        <v/>
      </c>
      <c r="L111" s="291"/>
      <c r="M111" s="352"/>
      <c r="N111" s="116"/>
      <c r="O111" s="116"/>
      <c r="P111" s="116"/>
      <c r="Q111" s="351">
        <f t="shared" si="17"/>
        <v>0</v>
      </c>
      <c r="R111" s="409" t="str">
        <f t="shared" si="15"/>
        <v/>
      </c>
      <c r="S111" s="407" t="str">
        <f t="shared" si="16"/>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12"/>
        <v/>
      </c>
      <c r="D112" s="395"/>
      <c r="E112" s="395"/>
      <c r="F112" s="125"/>
      <c r="G112" s="107"/>
      <c r="H112" s="107"/>
      <c r="I112" s="134"/>
      <c r="J112" s="134"/>
      <c r="K112" s="350" t="str">
        <f t="shared" si="13"/>
        <v/>
      </c>
      <c r="L112" s="291"/>
      <c r="M112" s="352"/>
      <c r="N112" s="116"/>
      <c r="O112" s="116"/>
      <c r="P112" s="116"/>
      <c r="Q112" s="351">
        <f t="shared" si="17"/>
        <v>0</v>
      </c>
      <c r="R112" s="409" t="str">
        <f t="shared" si="15"/>
        <v/>
      </c>
      <c r="S112" s="407" t="str">
        <f t="shared" si="16"/>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12"/>
        <v/>
      </c>
      <c r="D113" s="395"/>
      <c r="E113" s="395"/>
      <c r="F113" s="125"/>
      <c r="G113" s="107"/>
      <c r="H113" s="107"/>
      <c r="I113" s="134"/>
      <c r="J113" s="134"/>
      <c r="K113" s="350" t="str">
        <f t="shared" si="13"/>
        <v/>
      </c>
      <c r="L113" s="291"/>
      <c r="M113" s="352"/>
      <c r="N113" s="116"/>
      <c r="O113" s="116"/>
      <c r="P113" s="116"/>
      <c r="Q113" s="351">
        <f t="shared" si="17"/>
        <v>0</v>
      </c>
      <c r="R113" s="409" t="str">
        <f t="shared" si="15"/>
        <v/>
      </c>
      <c r="S113" s="407" t="str">
        <f t="shared" si="16"/>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12"/>
        <v/>
      </c>
      <c r="D114" s="395"/>
      <c r="E114" s="395"/>
      <c r="F114" s="125"/>
      <c r="G114" s="107"/>
      <c r="H114" s="107"/>
      <c r="I114" s="134"/>
      <c r="J114" s="134"/>
      <c r="K114" s="350" t="str">
        <f t="shared" si="13"/>
        <v/>
      </c>
      <c r="L114" s="291"/>
      <c r="M114" s="352"/>
      <c r="N114" s="116"/>
      <c r="O114" s="116"/>
      <c r="P114" s="116"/>
      <c r="Q114" s="351">
        <f t="shared" si="17"/>
        <v>0</v>
      </c>
      <c r="R114" s="409" t="str">
        <f t="shared" si="15"/>
        <v/>
      </c>
      <c r="S114" s="407" t="str">
        <f t="shared" si="16"/>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12"/>
        <v/>
      </c>
      <c r="D115" s="395"/>
      <c r="E115" s="395"/>
      <c r="F115" s="125"/>
      <c r="G115" s="107"/>
      <c r="H115" s="107"/>
      <c r="I115" s="134"/>
      <c r="J115" s="134"/>
      <c r="K115" s="350" t="str">
        <f t="shared" si="13"/>
        <v/>
      </c>
      <c r="L115" s="291"/>
      <c r="M115" s="352"/>
      <c r="N115" s="116"/>
      <c r="O115" s="116"/>
      <c r="P115" s="116"/>
      <c r="Q115" s="351">
        <f t="shared" si="17"/>
        <v>0</v>
      </c>
      <c r="R115" s="409" t="str">
        <f t="shared" si="15"/>
        <v/>
      </c>
      <c r="S115" s="407" t="str">
        <f t="shared" si="16"/>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12"/>
        <v/>
      </c>
      <c r="D116" s="395"/>
      <c r="E116" s="395"/>
      <c r="F116" s="125"/>
      <c r="G116" s="107"/>
      <c r="H116" s="107"/>
      <c r="I116" s="134"/>
      <c r="J116" s="134"/>
      <c r="K116" s="350" t="str">
        <f t="shared" si="13"/>
        <v/>
      </c>
      <c r="L116" s="291"/>
      <c r="M116" s="352"/>
      <c r="N116" s="116"/>
      <c r="O116" s="116"/>
      <c r="P116" s="116"/>
      <c r="Q116" s="351">
        <f t="shared" si="17"/>
        <v>0</v>
      </c>
      <c r="R116" s="409" t="str">
        <f t="shared" si="15"/>
        <v/>
      </c>
      <c r="S116" s="407" t="str">
        <f t="shared" si="16"/>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12"/>
        <v/>
      </c>
      <c r="D117" s="395"/>
      <c r="E117" s="395"/>
      <c r="F117" s="125"/>
      <c r="G117" s="107"/>
      <c r="H117" s="107"/>
      <c r="I117" s="134"/>
      <c r="J117" s="134"/>
      <c r="K117" s="350" t="str">
        <f t="shared" si="13"/>
        <v/>
      </c>
      <c r="L117" s="291"/>
      <c r="M117" s="352"/>
      <c r="N117" s="116"/>
      <c r="O117" s="116"/>
      <c r="P117" s="116"/>
      <c r="Q117" s="351">
        <f t="shared" si="17"/>
        <v>0</v>
      </c>
      <c r="R117" s="409" t="str">
        <f t="shared" si="15"/>
        <v/>
      </c>
      <c r="S117" s="407" t="str">
        <f t="shared" si="16"/>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12"/>
        <v/>
      </c>
      <c r="D118" s="395"/>
      <c r="E118" s="395"/>
      <c r="F118" s="125"/>
      <c r="G118" s="107"/>
      <c r="H118" s="107"/>
      <c r="I118" s="134"/>
      <c r="J118" s="134"/>
      <c r="K118" s="350" t="str">
        <f t="shared" si="13"/>
        <v/>
      </c>
      <c r="L118" s="291"/>
      <c r="M118" s="352"/>
      <c r="N118" s="116"/>
      <c r="O118" s="116"/>
      <c r="P118" s="116"/>
      <c r="Q118" s="351">
        <f t="shared" si="17"/>
        <v>0</v>
      </c>
      <c r="R118" s="409" t="str">
        <f t="shared" si="15"/>
        <v/>
      </c>
      <c r="S118" s="407" t="str">
        <f t="shared" si="16"/>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12"/>
        <v/>
      </c>
      <c r="D119" s="395"/>
      <c r="E119" s="395"/>
      <c r="F119" s="125"/>
      <c r="G119" s="107"/>
      <c r="H119" s="107"/>
      <c r="I119" s="134"/>
      <c r="J119" s="134"/>
      <c r="K119" s="350" t="str">
        <f t="shared" si="13"/>
        <v/>
      </c>
      <c r="L119" s="291"/>
      <c r="M119" s="352"/>
      <c r="N119" s="116"/>
      <c r="O119" s="116"/>
      <c r="P119" s="116"/>
      <c r="Q119" s="351">
        <f t="shared" si="17"/>
        <v>0</v>
      </c>
      <c r="R119" s="409" t="str">
        <f t="shared" si="15"/>
        <v/>
      </c>
      <c r="S119" s="407" t="str">
        <f t="shared" si="16"/>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12"/>
        <v/>
      </c>
      <c r="D120" s="395"/>
      <c r="E120" s="395"/>
      <c r="F120" s="125"/>
      <c r="G120" s="107"/>
      <c r="H120" s="107"/>
      <c r="I120" s="134"/>
      <c r="J120" s="134"/>
      <c r="K120" s="350" t="str">
        <f t="shared" si="13"/>
        <v/>
      </c>
      <c r="L120" s="291"/>
      <c r="M120" s="352"/>
      <c r="N120" s="116"/>
      <c r="O120" s="116"/>
      <c r="P120" s="116"/>
      <c r="Q120" s="351">
        <f t="shared" si="17"/>
        <v>0</v>
      </c>
      <c r="R120" s="409" t="str">
        <f t="shared" si="15"/>
        <v/>
      </c>
      <c r="S120" s="407" t="str">
        <f t="shared" si="16"/>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12"/>
        <v/>
      </c>
      <c r="D121" s="395"/>
      <c r="E121" s="395"/>
      <c r="F121" s="125"/>
      <c r="G121" s="107"/>
      <c r="H121" s="107"/>
      <c r="I121" s="134"/>
      <c r="J121" s="134"/>
      <c r="K121" s="350" t="str">
        <f t="shared" si="13"/>
        <v/>
      </c>
      <c r="L121" s="291"/>
      <c r="M121" s="352"/>
      <c r="N121" s="116"/>
      <c r="O121" s="116"/>
      <c r="P121" s="116"/>
      <c r="Q121" s="351">
        <f t="shared" si="17"/>
        <v>0</v>
      </c>
      <c r="R121" s="409" t="str">
        <f t="shared" si="15"/>
        <v/>
      </c>
      <c r="S121" s="407" t="str">
        <f t="shared" si="16"/>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12"/>
        <v/>
      </c>
      <c r="D122" s="395"/>
      <c r="E122" s="395"/>
      <c r="F122" s="125"/>
      <c r="G122" s="107"/>
      <c r="H122" s="107"/>
      <c r="I122" s="134"/>
      <c r="J122" s="134"/>
      <c r="K122" s="350" t="str">
        <f t="shared" si="13"/>
        <v/>
      </c>
      <c r="L122" s="291"/>
      <c r="M122" s="352"/>
      <c r="N122" s="116"/>
      <c r="O122" s="116"/>
      <c r="P122" s="116"/>
      <c r="Q122" s="351">
        <f t="shared" si="17"/>
        <v>0</v>
      </c>
      <c r="R122" s="409" t="str">
        <f t="shared" si="15"/>
        <v/>
      </c>
      <c r="S122" s="407" t="str">
        <f t="shared" si="16"/>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12"/>
        <v/>
      </c>
      <c r="D123" s="395"/>
      <c r="E123" s="395"/>
      <c r="F123" s="125"/>
      <c r="G123" s="107"/>
      <c r="H123" s="107"/>
      <c r="I123" s="134"/>
      <c r="J123" s="134"/>
      <c r="K123" s="350" t="str">
        <f t="shared" si="13"/>
        <v/>
      </c>
      <c r="L123" s="291"/>
      <c r="M123" s="352"/>
      <c r="N123" s="116"/>
      <c r="O123" s="116"/>
      <c r="P123" s="116"/>
      <c r="Q123" s="351">
        <f>SUM(L123:P123)</f>
        <v>0</v>
      </c>
      <c r="R123" s="409" t="str">
        <f t="shared" si="15"/>
        <v/>
      </c>
      <c r="S123" s="407" t="str">
        <f t="shared" si="16"/>
        <v/>
      </c>
      <c r="AL123" s="108"/>
      <c r="AM123" s="108"/>
      <c r="AN123" s="108"/>
    </row>
    <row r="124" spans="2:40" ht="15">
      <c r="B124" s="363">
        <v>89</v>
      </c>
      <c r="C124" s="132" t="str">
        <f t="shared" si="12"/>
        <v/>
      </c>
      <c r="D124" s="395"/>
      <c r="E124" s="395"/>
      <c r="F124" s="125"/>
      <c r="G124" s="107"/>
      <c r="H124" s="107"/>
      <c r="I124" s="134"/>
      <c r="J124" s="134"/>
      <c r="K124" s="350" t="str">
        <f t="shared" si="13"/>
        <v/>
      </c>
      <c r="L124" s="291"/>
      <c r="M124" s="352"/>
      <c r="N124" s="116"/>
      <c r="O124" s="116"/>
      <c r="P124" s="116"/>
      <c r="Q124" s="351">
        <f aca="true" t="shared" si="18" ref="Q124:Q135">SUM(L124:P124)</f>
        <v>0</v>
      </c>
      <c r="R124" s="409" t="str">
        <f t="shared" si="15"/>
        <v/>
      </c>
      <c r="S124" s="407" t="str">
        <f t="shared" si="16"/>
        <v/>
      </c>
      <c r="AL124" s="108"/>
      <c r="AM124" s="108"/>
      <c r="AN124" s="108"/>
    </row>
    <row r="125" spans="2:40" ht="15">
      <c r="B125" s="363">
        <v>90</v>
      </c>
      <c r="C125" s="132" t="str">
        <f t="shared" si="12"/>
        <v/>
      </c>
      <c r="D125" s="395"/>
      <c r="E125" s="395"/>
      <c r="F125" s="125"/>
      <c r="G125" s="107"/>
      <c r="H125" s="107"/>
      <c r="I125" s="134"/>
      <c r="J125" s="134"/>
      <c r="K125" s="350" t="str">
        <f t="shared" si="13"/>
        <v/>
      </c>
      <c r="L125" s="291"/>
      <c r="M125" s="352"/>
      <c r="N125" s="116"/>
      <c r="O125" s="116"/>
      <c r="P125" s="116"/>
      <c r="Q125" s="351">
        <f t="shared" si="18"/>
        <v>0</v>
      </c>
      <c r="R125" s="409" t="str">
        <f t="shared" si="15"/>
        <v/>
      </c>
      <c r="S125" s="407" t="str">
        <f t="shared" si="16"/>
        <v/>
      </c>
      <c r="AL125" s="108"/>
      <c r="AM125" s="108"/>
      <c r="AN125" s="108"/>
    </row>
    <row r="126" spans="2:40" ht="15">
      <c r="B126" s="363">
        <v>91</v>
      </c>
      <c r="C126" s="132" t="str">
        <f t="shared" si="12"/>
        <v/>
      </c>
      <c r="D126" s="395"/>
      <c r="E126" s="395"/>
      <c r="F126" s="125"/>
      <c r="G126" s="107"/>
      <c r="H126" s="107"/>
      <c r="I126" s="134"/>
      <c r="J126" s="134"/>
      <c r="K126" s="350" t="str">
        <f t="shared" si="13"/>
        <v/>
      </c>
      <c r="L126" s="291"/>
      <c r="M126" s="352"/>
      <c r="N126" s="116"/>
      <c r="O126" s="116"/>
      <c r="P126" s="116"/>
      <c r="Q126" s="351">
        <f t="shared" si="18"/>
        <v>0</v>
      </c>
      <c r="R126" s="409" t="str">
        <f t="shared" si="15"/>
        <v/>
      </c>
      <c r="S126" s="407" t="str">
        <f t="shared" si="16"/>
        <v/>
      </c>
      <c r="AL126" s="108"/>
      <c r="AM126" s="108"/>
      <c r="AN126" s="108"/>
    </row>
    <row r="127" spans="2:40" ht="15">
      <c r="B127" s="363">
        <v>92</v>
      </c>
      <c r="C127" s="132" t="str">
        <f t="shared" si="12"/>
        <v/>
      </c>
      <c r="D127" s="395"/>
      <c r="E127" s="395"/>
      <c r="F127" s="125"/>
      <c r="G127" s="107"/>
      <c r="H127" s="107"/>
      <c r="I127" s="134"/>
      <c r="J127" s="134"/>
      <c r="K127" s="350" t="str">
        <f t="shared" si="13"/>
        <v/>
      </c>
      <c r="L127" s="291"/>
      <c r="M127" s="352"/>
      <c r="N127" s="116"/>
      <c r="O127" s="116"/>
      <c r="P127" s="116"/>
      <c r="Q127" s="351">
        <f t="shared" si="18"/>
        <v>0</v>
      </c>
      <c r="R127" s="409" t="str">
        <f t="shared" si="15"/>
        <v/>
      </c>
      <c r="S127" s="407" t="str">
        <f t="shared" si="16"/>
        <v/>
      </c>
      <c r="AL127" s="108"/>
      <c r="AM127" s="108"/>
      <c r="AN127" s="108"/>
    </row>
    <row r="128" spans="2:40" ht="15">
      <c r="B128" s="363">
        <v>93</v>
      </c>
      <c r="C128" s="132" t="str">
        <f t="shared" si="12"/>
        <v/>
      </c>
      <c r="D128" s="395"/>
      <c r="E128" s="395"/>
      <c r="F128" s="125"/>
      <c r="G128" s="107"/>
      <c r="H128" s="107"/>
      <c r="I128" s="134"/>
      <c r="J128" s="134"/>
      <c r="K128" s="350" t="str">
        <f t="shared" si="13"/>
        <v/>
      </c>
      <c r="L128" s="291"/>
      <c r="M128" s="352"/>
      <c r="N128" s="116"/>
      <c r="O128" s="116"/>
      <c r="P128" s="116"/>
      <c r="Q128" s="351">
        <f t="shared" si="18"/>
        <v>0</v>
      </c>
      <c r="R128" s="409" t="str">
        <f t="shared" si="15"/>
        <v/>
      </c>
      <c r="S128" s="407" t="str">
        <f t="shared" si="16"/>
        <v/>
      </c>
      <c r="AL128" s="108"/>
      <c r="AM128" s="108"/>
      <c r="AN128" s="108"/>
    </row>
    <row r="129" spans="2:40" ht="15">
      <c r="B129" s="363">
        <v>94</v>
      </c>
      <c r="C129" s="132" t="str">
        <f t="shared" si="12"/>
        <v/>
      </c>
      <c r="D129" s="395"/>
      <c r="E129" s="395"/>
      <c r="F129" s="125"/>
      <c r="G129" s="107"/>
      <c r="H129" s="107"/>
      <c r="I129" s="134"/>
      <c r="J129" s="134"/>
      <c r="K129" s="350" t="str">
        <f t="shared" si="13"/>
        <v/>
      </c>
      <c r="L129" s="291"/>
      <c r="M129" s="352"/>
      <c r="N129" s="116"/>
      <c r="O129" s="116"/>
      <c r="P129" s="116"/>
      <c r="Q129" s="351">
        <f t="shared" si="18"/>
        <v>0</v>
      </c>
      <c r="R129" s="409" t="str">
        <f t="shared" si="15"/>
        <v/>
      </c>
      <c r="S129" s="407" t="str">
        <f t="shared" si="16"/>
        <v/>
      </c>
      <c r="AL129" s="108"/>
      <c r="AM129" s="108"/>
      <c r="AN129" s="108"/>
    </row>
    <row r="130" spans="2:40" ht="15">
      <c r="B130" s="363">
        <v>95</v>
      </c>
      <c r="C130" s="132" t="str">
        <f t="shared" si="12"/>
        <v/>
      </c>
      <c r="D130" s="395"/>
      <c r="E130" s="395"/>
      <c r="F130" s="125"/>
      <c r="G130" s="107"/>
      <c r="H130" s="107"/>
      <c r="I130" s="134"/>
      <c r="J130" s="134"/>
      <c r="K130" s="350" t="str">
        <f t="shared" si="13"/>
        <v/>
      </c>
      <c r="L130" s="291"/>
      <c r="M130" s="352"/>
      <c r="N130" s="116"/>
      <c r="O130" s="116"/>
      <c r="P130" s="116"/>
      <c r="Q130" s="351">
        <f t="shared" si="18"/>
        <v>0</v>
      </c>
      <c r="R130" s="409" t="str">
        <f t="shared" si="15"/>
        <v/>
      </c>
      <c r="S130" s="407" t="str">
        <f t="shared" si="16"/>
        <v/>
      </c>
      <c r="AL130" s="108"/>
      <c r="AM130" s="108"/>
      <c r="AN130" s="108"/>
    </row>
    <row r="131" spans="2:40" ht="15">
      <c r="B131" s="363">
        <v>96</v>
      </c>
      <c r="C131" s="132" t="str">
        <f t="shared" si="12"/>
        <v/>
      </c>
      <c r="D131" s="395"/>
      <c r="E131" s="395"/>
      <c r="F131" s="125"/>
      <c r="G131" s="107"/>
      <c r="H131" s="107"/>
      <c r="I131" s="134"/>
      <c r="J131" s="134"/>
      <c r="K131" s="350" t="str">
        <f t="shared" si="13"/>
        <v/>
      </c>
      <c r="L131" s="291"/>
      <c r="M131" s="352"/>
      <c r="N131" s="116"/>
      <c r="O131" s="116"/>
      <c r="P131" s="116"/>
      <c r="Q131" s="351">
        <f t="shared" si="18"/>
        <v>0</v>
      </c>
      <c r="R131" s="409" t="str">
        <f t="shared" si="15"/>
        <v/>
      </c>
      <c r="S131" s="407" t="str">
        <f t="shared" si="16"/>
        <v/>
      </c>
      <c r="AL131" s="108"/>
      <c r="AM131" s="108"/>
      <c r="AN131" s="108"/>
    </row>
    <row r="132" spans="2:40" ht="15">
      <c r="B132" s="363">
        <v>97</v>
      </c>
      <c r="C132" s="132" t="str">
        <f aca="true" t="shared" si="19" ref="C132:C135">IF(AND(NOT(COUNTA(D132:J132)),(NOT(COUNTA(L132:P132)))),"",VLOOKUP($D$7,Info_County_Code,2,FALSE))</f>
        <v/>
      </c>
      <c r="D132" s="395"/>
      <c r="E132" s="395"/>
      <c r="F132" s="125"/>
      <c r="G132" s="107"/>
      <c r="H132" s="107"/>
      <c r="I132" s="134"/>
      <c r="J132" s="134"/>
      <c r="K132" s="350" t="str">
        <f t="shared" si="13"/>
        <v/>
      </c>
      <c r="L132" s="291"/>
      <c r="M132" s="352"/>
      <c r="N132" s="116"/>
      <c r="O132" s="116"/>
      <c r="P132" s="116"/>
      <c r="Q132" s="351">
        <f t="shared" si="18"/>
        <v>0</v>
      </c>
      <c r="R132" s="409" t="str">
        <f t="shared" si="15"/>
        <v/>
      </c>
      <c r="S132" s="407" t="str">
        <f t="shared" si="16"/>
        <v/>
      </c>
      <c r="AL132" s="108"/>
      <c r="AM132" s="108"/>
      <c r="AN132" s="108"/>
    </row>
    <row r="133" spans="2:40" ht="15">
      <c r="B133" s="363">
        <v>98</v>
      </c>
      <c r="C133" s="132" t="str">
        <f t="shared" si="19"/>
        <v/>
      </c>
      <c r="D133" s="395"/>
      <c r="E133" s="395"/>
      <c r="F133" s="125"/>
      <c r="G133" s="107"/>
      <c r="H133" s="107"/>
      <c r="I133" s="134"/>
      <c r="J133" s="134"/>
      <c r="K133" s="350" t="str">
        <f t="shared" si="13"/>
        <v/>
      </c>
      <c r="L133" s="291"/>
      <c r="M133" s="352"/>
      <c r="N133" s="116"/>
      <c r="O133" s="116"/>
      <c r="P133" s="116"/>
      <c r="Q133" s="351">
        <f t="shared" si="18"/>
        <v>0</v>
      </c>
      <c r="R133" s="409" t="str">
        <f t="shared" si="15"/>
        <v/>
      </c>
      <c r="S133" s="407" t="str">
        <f t="shared" si="16"/>
        <v/>
      </c>
      <c r="AL133" s="108"/>
      <c r="AM133" s="108"/>
      <c r="AN133" s="108"/>
    </row>
    <row r="134" spans="2:40" ht="15">
      <c r="B134" s="363">
        <v>99</v>
      </c>
      <c r="C134" s="132" t="str">
        <f t="shared" si="19"/>
        <v/>
      </c>
      <c r="D134" s="395"/>
      <c r="E134" s="395"/>
      <c r="F134" s="125"/>
      <c r="G134" s="107"/>
      <c r="H134" s="107"/>
      <c r="I134" s="134"/>
      <c r="J134" s="134"/>
      <c r="K134" s="350" t="str">
        <f t="shared" si="13"/>
        <v/>
      </c>
      <c r="L134" s="291"/>
      <c r="M134" s="352"/>
      <c r="N134" s="116"/>
      <c r="O134" s="116"/>
      <c r="P134" s="116"/>
      <c r="Q134" s="351">
        <f t="shared" si="18"/>
        <v>0</v>
      </c>
      <c r="R134" s="409" t="str">
        <f t="shared" si="15"/>
        <v/>
      </c>
      <c r="S134" s="407" t="str">
        <f t="shared" si="16"/>
        <v/>
      </c>
      <c r="AL134" s="108"/>
      <c r="AM134" s="108"/>
      <c r="AN134" s="108"/>
    </row>
    <row r="135" spans="2:40" ht="15">
      <c r="B135" s="363">
        <v>100</v>
      </c>
      <c r="C135" s="132" t="str">
        <f t="shared" si="19"/>
        <v/>
      </c>
      <c r="D135" s="395"/>
      <c r="E135" s="395"/>
      <c r="F135" s="125"/>
      <c r="G135" s="107"/>
      <c r="H135" s="107"/>
      <c r="I135" s="134"/>
      <c r="J135" s="134"/>
      <c r="K135" s="350" t="str">
        <f t="shared" si="13"/>
        <v/>
      </c>
      <c r="L135" s="291"/>
      <c r="M135" s="352"/>
      <c r="N135" s="116"/>
      <c r="O135" s="116"/>
      <c r="P135" s="116"/>
      <c r="Q135" s="351">
        <f t="shared" si="18"/>
        <v>0</v>
      </c>
      <c r="R135" s="409" t="str">
        <f t="shared" si="15"/>
        <v/>
      </c>
      <c r="S135" s="407" t="str">
        <f t="shared" si="16"/>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1.12364583333333" bottom="0.75" header="0.3" footer="0.3"/>
  <pageSetup fitToHeight="1" fitToWidth="1" horizontalDpi="600" verticalDpi="600" orientation="landscape" paperSize="5" scale="20" r:id="rId1"/>
  <headerFooter>
    <oddFooter>&amp;C&amp;"Arial,Regular"&amp;14Page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zoomScale="70" zoomScaleNormal="70" zoomScaleSheetLayoutView="40" workbookViewId="0" topLeftCell="A1">
      <selection activeCell="D27" sqref="D27:J27"/>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8"/>
      <c r="C1" s="458"/>
      <c r="D1" s="458"/>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46" t="s">
        <v>1</v>
      </c>
      <c r="C7" s="446"/>
      <c r="D7" s="9" t="str">
        <f>IF(ISBLANK('1. Information'!D8),"",'1. Information'!D8)</f>
        <v>Fresno</v>
      </c>
      <c r="F7" s="94" t="s">
        <v>2</v>
      </c>
      <c r="G7" s="109">
        <f>IF(ISBLANK('1. Information'!D7),"",'1. Information'!D7)</f>
        <v>43461</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36" t="s">
        <v>30</v>
      </c>
      <c r="H12" s="436"/>
      <c r="I12" s="436"/>
      <c r="J12" s="439"/>
      <c r="K12" s="308"/>
      <c r="L12"/>
      <c r="M12"/>
      <c r="N12"/>
      <c r="O12" s="108"/>
      <c r="P12" s="108"/>
    </row>
    <row r="13" spans="2:16" ht="65.25" customHeight="1">
      <c r="B13" s="108"/>
      <c r="C13" s="460"/>
      <c r="D13" s="460"/>
      <c r="E13" s="460"/>
      <c r="F13" s="30" t="s">
        <v>300</v>
      </c>
      <c r="G13" s="44" t="s">
        <v>5</v>
      </c>
      <c r="H13" s="27" t="s">
        <v>6</v>
      </c>
      <c r="I13" s="27" t="s">
        <v>31</v>
      </c>
      <c r="J13" s="27" t="s">
        <v>15</v>
      </c>
      <c r="K13" s="306" t="s">
        <v>278</v>
      </c>
      <c r="L13"/>
      <c r="M13"/>
      <c r="N13"/>
      <c r="O13" s="108"/>
      <c r="P13" s="108"/>
    </row>
    <row r="14" spans="2:16" ht="15.75">
      <c r="B14" s="101">
        <v>1</v>
      </c>
      <c r="C14" s="444" t="s">
        <v>160</v>
      </c>
      <c r="D14" s="444"/>
      <c r="E14" s="444"/>
      <c r="F14" s="290"/>
      <c r="G14" s="45"/>
      <c r="H14" s="29"/>
      <c r="I14" s="29"/>
      <c r="J14" s="309"/>
      <c r="K14" s="293">
        <f>SUM(F14:J14)</f>
        <v>0</v>
      </c>
      <c r="L14"/>
      <c r="M14"/>
      <c r="N14"/>
      <c r="O14" s="108"/>
      <c r="P14" s="108"/>
    </row>
    <row r="15" spans="2:16" ht="15.75">
      <c r="B15" s="101">
        <v>2</v>
      </c>
      <c r="C15" s="444" t="s">
        <v>161</v>
      </c>
      <c r="D15" s="444"/>
      <c r="E15" s="444"/>
      <c r="F15" s="29"/>
      <c r="G15" s="411"/>
      <c r="H15" s="412"/>
      <c r="I15" s="412"/>
      <c r="J15" s="413"/>
      <c r="K15" s="293">
        <f>SUM(F15:J15)</f>
        <v>0</v>
      </c>
      <c r="L15"/>
      <c r="M15"/>
      <c r="N15"/>
      <c r="O15" s="108"/>
      <c r="P15" s="108"/>
    </row>
    <row r="16" spans="2:16" ht="15.75">
      <c r="B16" s="405">
        <v>3</v>
      </c>
      <c r="C16" s="440" t="s">
        <v>314</v>
      </c>
      <c r="D16" s="441"/>
      <c r="E16" s="442"/>
      <c r="F16" s="367"/>
      <c r="G16" s="19"/>
      <c r="H16" s="19"/>
      <c r="I16" s="19"/>
      <c r="J16" s="19"/>
      <c r="K16" s="293">
        <f>SUM(F16:J16)</f>
        <v>0</v>
      </c>
      <c r="L16" s="404"/>
      <c r="M16" s="404"/>
      <c r="N16" s="404"/>
      <c r="O16" s="108"/>
      <c r="P16" s="108"/>
    </row>
    <row r="17" spans="2:16" ht="15.75">
      <c r="B17" s="405">
        <v>4</v>
      </c>
      <c r="C17" s="440" t="s">
        <v>315</v>
      </c>
      <c r="D17" s="441"/>
      <c r="E17" s="442"/>
      <c r="F17" s="410"/>
      <c r="G17" s="19"/>
      <c r="H17" s="19"/>
      <c r="I17" s="19"/>
      <c r="J17" s="19"/>
      <c r="K17" s="293">
        <f>SUM(F17:J17)</f>
        <v>0</v>
      </c>
      <c r="L17" s="404"/>
      <c r="M17" s="404"/>
      <c r="N17" s="404"/>
      <c r="O17" s="108"/>
      <c r="P17" s="108"/>
    </row>
    <row r="18" spans="2:16" ht="15.75">
      <c r="B18" s="101">
        <v>5</v>
      </c>
      <c r="C18" s="444" t="s">
        <v>162</v>
      </c>
      <c r="D18" s="444"/>
      <c r="E18" s="444"/>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0</v>
      </c>
      <c r="L18"/>
      <c r="M18"/>
      <c r="N18"/>
      <c r="O18" s="108"/>
      <c r="P18" s="108"/>
    </row>
    <row r="19" spans="2:16" ht="15.75">
      <c r="B19" s="101">
        <v>6</v>
      </c>
      <c r="C19" s="444" t="s">
        <v>163</v>
      </c>
      <c r="D19" s="444"/>
      <c r="E19" s="444"/>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6" ht="15.75">
      <c r="B20" s="101">
        <v>7</v>
      </c>
      <c r="C20" s="444" t="s">
        <v>236</v>
      </c>
      <c r="D20" s="444"/>
      <c r="E20" s="444"/>
      <c r="F20" s="19">
        <f>SUMIF($J$29:$J$132,"Project Direct",K$29:K$132)</f>
        <v>0</v>
      </c>
      <c r="G20" s="47">
        <f>SUMIF($J$29:$J$132,"Project Direct",L$29:L$132)</f>
        <v>0</v>
      </c>
      <c r="H20" s="19">
        <f>SUMIF($J$29:$J$132,"Project Direct",M$29:M$132)</f>
        <v>0</v>
      </c>
      <c r="I20" s="19">
        <f>SUMIF($J$29:$J$132,"Project Direct",N$29:N$132)</f>
        <v>0</v>
      </c>
      <c r="J20" s="19">
        <f>SUMIF($J$29:$J$132,"Project Direct",O$29:O$132)</f>
        <v>0</v>
      </c>
      <c r="K20" s="293">
        <f t="shared" si="0"/>
        <v>0</v>
      </c>
      <c r="L20"/>
      <c r="M20"/>
      <c r="N20"/>
      <c r="O20" s="108"/>
      <c r="P20" s="108"/>
    </row>
    <row r="21" spans="2:16" ht="15.75">
      <c r="B21" s="101">
        <v>8</v>
      </c>
      <c r="C21" s="459" t="s">
        <v>164</v>
      </c>
      <c r="D21" s="459"/>
      <c r="E21" s="459"/>
      <c r="F21" s="18">
        <f>SUM(F18:F20)</f>
        <v>0</v>
      </c>
      <c r="G21" s="48">
        <f>SUM(G18:G20)</f>
        <v>0</v>
      </c>
      <c r="H21" s="18">
        <f>SUM(H18:H20)</f>
        <v>0</v>
      </c>
      <c r="I21" s="18">
        <f>SUM(I18:I20)</f>
        <v>0</v>
      </c>
      <c r="J21" s="18">
        <f aca="true" t="shared" si="1" ref="J21">SUM(J18:J20)</f>
        <v>0</v>
      </c>
      <c r="K21" s="18">
        <f aca="true" t="shared" si="2" ref="K21">SUM(K18:K20)</f>
        <v>0</v>
      </c>
      <c r="L21"/>
      <c r="M21"/>
      <c r="N21"/>
      <c r="O21" s="108"/>
      <c r="P21" s="108"/>
    </row>
    <row r="22" spans="2:16" ht="30.95" customHeight="1">
      <c r="B22" s="101">
        <v>9</v>
      </c>
      <c r="C22" s="456" t="s">
        <v>316</v>
      </c>
      <c r="D22" s="456"/>
      <c r="E22" s="456"/>
      <c r="F22" s="20">
        <f aca="true" t="shared" si="3" ref="F22:K22">SUM(F14:F15,F17,F18:F20)</f>
        <v>0</v>
      </c>
      <c r="G22" s="20">
        <f t="shared" si="3"/>
        <v>0</v>
      </c>
      <c r="H22" s="20">
        <f t="shared" si="3"/>
        <v>0</v>
      </c>
      <c r="I22" s="20">
        <f t="shared" si="3"/>
        <v>0</v>
      </c>
      <c r="J22" s="20">
        <f t="shared" si="3"/>
        <v>0</v>
      </c>
      <c r="K22" s="20">
        <f t="shared" si="3"/>
        <v>0</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7" t="s">
        <v>167</v>
      </c>
      <c r="E27" s="457"/>
      <c r="F27" s="457"/>
      <c r="G27" s="457"/>
      <c r="H27" s="457"/>
      <c r="I27" s="457"/>
      <c r="J27" s="457"/>
      <c r="K27" s="340" t="s">
        <v>28</v>
      </c>
      <c r="L27" s="457" t="s">
        <v>30</v>
      </c>
      <c r="M27" s="457"/>
      <c r="N27" s="457"/>
      <c r="O27" s="457"/>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t="str">
        <f>IF(P32&lt;&gt;0,VLOOKUP($D$7,Info_County_Code,2,FALSE),"")</f>
        <v/>
      </c>
      <c r="D29" s="395"/>
      <c r="E29" s="138"/>
      <c r="F29" s="138"/>
      <c r="G29" s="138"/>
      <c r="H29" s="116"/>
      <c r="I29" s="116"/>
      <c r="J29" s="118" t="s">
        <v>158</v>
      </c>
      <c r="K29" s="120"/>
      <c r="L29" s="120"/>
      <c r="M29" s="116"/>
      <c r="N29" s="116"/>
      <c r="O29" s="129"/>
      <c r="P29" s="293">
        <f aca="true" t="shared" si="4" ref="P29:P64">SUM(K29:O29)</f>
        <v>0</v>
      </c>
    </row>
    <row r="30" spans="2:16" ht="15">
      <c r="B30" s="123">
        <v>1</v>
      </c>
      <c r="C30" s="139" t="str">
        <f aca="true" t="shared" si="5" ref="C30:I31">IF(ISBLANK(C29),"",C29)</f>
        <v/>
      </c>
      <c r="D30" s="397" t="str">
        <f t="shared" si="5"/>
        <v/>
      </c>
      <c r="E30" s="140" t="str">
        <f t="shared" si="5"/>
        <v/>
      </c>
      <c r="F30" s="140" t="str">
        <f t="shared" si="5"/>
        <v/>
      </c>
      <c r="G30" s="140" t="str">
        <f t="shared" si="5"/>
        <v/>
      </c>
      <c r="H30" s="122" t="str">
        <f t="shared" si="5"/>
        <v/>
      </c>
      <c r="I30" s="122" t="str">
        <f t="shared" si="5"/>
        <v/>
      </c>
      <c r="J30" s="119" t="s">
        <v>159</v>
      </c>
      <c r="K30" s="120"/>
      <c r="L30" s="120"/>
      <c r="M30" s="116"/>
      <c r="N30" s="116"/>
      <c r="O30" s="129"/>
      <c r="P30" s="293">
        <f t="shared" si="4"/>
        <v>0</v>
      </c>
    </row>
    <row r="31" spans="2:16" ht="15">
      <c r="B31" s="123">
        <v>1</v>
      </c>
      <c r="C31" s="139" t="str">
        <f aca="true" t="shared" si="6" ref="C31:H31">IF(ISBLANK(C29),"",C29)</f>
        <v/>
      </c>
      <c r="D31" s="398" t="str">
        <f t="shared" si="6"/>
        <v/>
      </c>
      <c r="E31" s="141" t="str">
        <f t="shared" si="6"/>
        <v/>
      </c>
      <c r="F31" s="141" t="str">
        <f t="shared" si="6"/>
        <v/>
      </c>
      <c r="G31" s="141" t="str">
        <f t="shared" si="6"/>
        <v/>
      </c>
      <c r="H31" s="119" t="str">
        <f t="shared" si="6"/>
        <v/>
      </c>
      <c r="I31" s="119" t="str">
        <f t="shared" si="5"/>
        <v/>
      </c>
      <c r="J31" s="119" t="s">
        <v>237</v>
      </c>
      <c r="K31" s="120"/>
      <c r="L31" s="120"/>
      <c r="M31" s="116"/>
      <c r="N31" s="116"/>
      <c r="O31" s="129"/>
      <c r="P31" s="293">
        <f t="shared" si="4"/>
        <v>0</v>
      </c>
    </row>
    <row r="32" spans="2:16" ht="15.75">
      <c r="B32" s="96">
        <v>1</v>
      </c>
      <c r="C32" s="22" t="str">
        <f aca="true" t="shared" si="7" ref="C32:I32">IF(ISBLANK(C29),"",C29)</f>
        <v/>
      </c>
      <c r="D32" s="399" t="str">
        <f t="shared" si="7"/>
        <v/>
      </c>
      <c r="E32" s="33" t="str">
        <f t="shared" si="7"/>
        <v/>
      </c>
      <c r="F32" s="33" t="str">
        <f t="shared" si="7"/>
        <v/>
      </c>
      <c r="G32" s="33" t="str">
        <f t="shared" si="7"/>
        <v/>
      </c>
      <c r="H32" s="34" t="str">
        <f t="shared" si="7"/>
        <v/>
      </c>
      <c r="I32" s="34" t="str">
        <f t="shared" si="7"/>
        <v/>
      </c>
      <c r="J32" s="8" t="s">
        <v>263</v>
      </c>
      <c r="K32" s="50">
        <f>SUM(K29:K31)</f>
        <v>0</v>
      </c>
      <c r="L32" s="50">
        <f>SUM(L29:L31)</f>
        <v>0</v>
      </c>
      <c r="M32" s="35">
        <f aca="true" t="shared" si="8" ref="M32:O32">SUM(M29:M31)</f>
        <v>0</v>
      </c>
      <c r="N32" s="35">
        <f t="shared" si="8"/>
        <v>0</v>
      </c>
      <c r="O32" s="311">
        <f t="shared" si="8"/>
        <v>0</v>
      </c>
      <c r="P32" s="8">
        <f t="shared" si="4"/>
        <v>0</v>
      </c>
    </row>
    <row r="33" spans="2:16" ht="15">
      <c r="B33" s="123">
        <v>2</v>
      </c>
      <c r="C33" s="137" t="str">
        <f>IF(P36&lt;&gt;0,VLOOKUP($D$7,Info_County_Code,2,FALSE),"")</f>
        <v/>
      </c>
      <c r="D33" s="395"/>
      <c r="E33" s="138"/>
      <c r="F33" s="138"/>
      <c r="G33" s="138"/>
      <c r="H33" s="116"/>
      <c r="I33" s="116"/>
      <c r="J33" s="118" t="str">
        <f>IF(NOT(ISBLANK(D33)),$J$29,"")</f>
        <v/>
      </c>
      <c r="K33" s="120"/>
      <c r="L33" s="120"/>
      <c r="M33" s="116"/>
      <c r="N33" s="116"/>
      <c r="O33" s="129"/>
      <c r="P33" s="293">
        <f aca="true" t="shared" si="9" ref="P33:P36">SUM(K33:O33)</f>
        <v>0</v>
      </c>
    </row>
    <row r="34" spans="2:16" ht="15">
      <c r="B34" s="123">
        <v>2</v>
      </c>
      <c r="C34" s="139" t="str">
        <f aca="true" t="shared" si="10" ref="C34:I34">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ht="15">
      <c r="B35" s="123">
        <v>2</v>
      </c>
      <c r="C35" s="139" t="str">
        <f aca="true" t="shared" si="11" ref="C35:I35">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c r="B36" s="362">
        <v>2</v>
      </c>
      <c r="C36" s="22" t="str">
        <f aca="true" t="shared" si="12" ref="C36:I36">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1">
        <f t="shared" si="14"/>
        <v>0</v>
      </c>
      <c r="P36" s="8">
        <f t="shared" si="9"/>
        <v>0</v>
      </c>
    </row>
    <row r="37" spans="2:16" ht="15">
      <c r="B37" s="123">
        <v>2</v>
      </c>
      <c r="C37" s="137" t="str">
        <f>IF(P40&lt;&gt;0,VLOOKUP($D$7,Info_County_Code,2,FALSE),"")</f>
        <v/>
      </c>
      <c r="D37" s="395"/>
      <c r="E37" s="138"/>
      <c r="F37" s="138"/>
      <c r="G37" s="138"/>
      <c r="H37" s="116"/>
      <c r="I37" s="116"/>
      <c r="J37" s="118" t="str">
        <f>IF(NOT(ISBLANK(D37)),$J$29,"")</f>
        <v/>
      </c>
      <c r="K37" s="120"/>
      <c r="L37" s="120"/>
      <c r="M37" s="116"/>
      <c r="N37" s="116"/>
      <c r="O37" s="129"/>
      <c r="P37" s="293">
        <f t="shared" si="4"/>
        <v>0</v>
      </c>
    </row>
    <row r="38" spans="2:16" ht="15">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c r="B41" s="123">
        <v>3</v>
      </c>
      <c r="C41" s="137" t="str">
        <f>IF(P44&lt;&gt;0,VLOOKUP($D$7,Info_County_Code,2,FALSE),"")</f>
        <v/>
      </c>
      <c r="D41" s="395"/>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showGridLines="0" zoomScale="85" zoomScaleNormal="85" zoomScaleSheetLayoutView="55" workbookViewId="0" topLeftCell="A1">
      <selection activeCell="J40" sqref="J40"/>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Fresno</v>
      </c>
      <c r="F7" s="94" t="s">
        <v>2</v>
      </c>
      <c r="G7" s="38">
        <f>IF(ISBLANK('1. Information'!D7),"",'1. Information'!D7)</f>
        <v>43461</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1" t="s">
        <v>213</v>
      </c>
      <c r="H12" s="462"/>
      <c r="I12" s="462"/>
      <c r="J12" s="463"/>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4" t="s">
        <v>16</v>
      </c>
      <c r="D14" s="444"/>
      <c r="E14" s="440"/>
      <c r="F14" s="290"/>
      <c r="G14" s="142"/>
      <c r="H14" s="142"/>
      <c r="I14" s="142"/>
      <c r="J14" s="142"/>
      <c r="K14" s="292">
        <f>SUM(F14:J14)</f>
        <v>0</v>
      </c>
      <c r="L14"/>
      <c r="M14"/>
      <c r="N14" s="108"/>
      <c r="O14" s="108"/>
    </row>
    <row r="15" spans="1:15" ht="15.75">
      <c r="A15" s="108"/>
      <c r="B15" s="101">
        <v>2</v>
      </c>
      <c r="C15" s="444" t="s">
        <v>17</v>
      </c>
      <c r="D15" s="444"/>
      <c r="E15" s="440"/>
      <c r="F15" s="290"/>
      <c r="G15" s="142"/>
      <c r="H15" s="142"/>
      <c r="I15" s="142"/>
      <c r="J15" s="142"/>
      <c r="K15" s="292">
        <f aca="true" t="shared" si="0" ref="K15:K19">SUM(F15:J15)</f>
        <v>0</v>
      </c>
      <c r="L15"/>
      <c r="M15"/>
      <c r="N15" s="108"/>
      <c r="O15" s="108"/>
    </row>
    <row r="16" spans="1:15" ht="15.75">
      <c r="A16" s="108"/>
      <c r="B16" s="101">
        <v>3</v>
      </c>
      <c r="C16" s="444" t="s">
        <v>238</v>
      </c>
      <c r="D16" s="444"/>
      <c r="E16" s="440"/>
      <c r="F16" s="290"/>
      <c r="G16" s="355"/>
      <c r="H16" s="355"/>
      <c r="I16" s="355"/>
      <c r="J16" s="355"/>
      <c r="K16" s="292">
        <f t="shared" si="0"/>
        <v>0</v>
      </c>
      <c r="L16"/>
      <c r="M16"/>
      <c r="N16" s="108"/>
      <c r="O16" s="108"/>
    </row>
    <row r="17" spans="1:15" ht="15.75">
      <c r="A17" s="108"/>
      <c r="B17" s="101">
        <v>4</v>
      </c>
      <c r="C17" s="444" t="s">
        <v>221</v>
      </c>
      <c r="D17" s="444"/>
      <c r="E17" s="440"/>
      <c r="F17" s="367"/>
      <c r="G17" s="119"/>
      <c r="H17" s="119"/>
      <c r="I17" s="119"/>
      <c r="J17" s="119"/>
      <c r="K17" s="292">
        <f t="shared" si="0"/>
        <v>0</v>
      </c>
      <c r="L17"/>
      <c r="M17"/>
      <c r="N17" s="108"/>
      <c r="O17" s="108"/>
    </row>
    <row r="18" spans="1:15" ht="15.75">
      <c r="A18" s="108"/>
      <c r="B18" s="101">
        <v>5</v>
      </c>
      <c r="C18" s="444" t="s">
        <v>222</v>
      </c>
      <c r="D18" s="444"/>
      <c r="E18" s="440"/>
      <c r="F18" s="367"/>
      <c r="G18" s="119"/>
      <c r="H18" s="119"/>
      <c r="I18" s="119"/>
      <c r="J18" s="119"/>
      <c r="K18" s="292">
        <f t="shared" si="0"/>
        <v>0</v>
      </c>
      <c r="L18"/>
      <c r="M18"/>
      <c r="N18" s="108"/>
      <c r="O18" s="108"/>
    </row>
    <row r="19" spans="1:15" ht="15.75">
      <c r="A19" s="108"/>
      <c r="B19" s="101">
        <v>6</v>
      </c>
      <c r="C19" s="440" t="s">
        <v>174</v>
      </c>
      <c r="D19" s="441"/>
      <c r="E19" s="442"/>
      <c r="F19" s="122">
        <f>SUM(E28:E32)</f>
        <v>1768996.5</v>
      </c>
      <c r="G19" s="121">
        <f aca="true" t="shared" si="1" ref="G19:I19">SUM(F28:F32)</f>
        <v>0</v>
      </c>
      <c r="H19" s="122">
        <f t="shared" si="1"/>
        <v>0</v>
      </c>
      <c r="I19" s="122">
        <f t="shared" si="1"/>
        <v>0</v>
      </c>
      <c r="J19" s="122">
        <f>SUM(I28:I32)</f>
        <v>0</v>
      </c>
      <c r="K19" s="293">
        <f t="shared" si="0"/>
        <v>1768996.5</v>
      </c>
      <c r="L19"/>
      <c r="M19"/>
      <c r="N19" s="108"/>
      <c r="O19" s="108"/>
    </row>
    <row r="20" spans="1:15" ht="30.95" customHeight="1">
      <c r="A20" s="108"/>
      <c r="B20" s="101">
        <v>7</v>
      </c>
      <c r="C20" s="456" t="s">
        <v>220</v>
      </c>
      <c r="D20" s="456"/>
      <c r="E20" s="456"/>
      <c r="F20" s="8">
        <f>SUM(F14:F16,F18:F19)</f>
        <v>1768996.5</v>
      </c>
      <c r="G20" s="43">
        <f aca="true" t="shared" si="2" ref="G20:J20">SUM(G14:G16,G18:G19)</f>
        <v>0</v>
      </c>
      <c r="H20" s="7">
        <f t="shared" si="2"/>
        <v>0</v>
      </c>
      <c r="I20" s="7">
        <f t="shared" si="2"/>
        <v>0</v>
      </c>
      <c r="J20" s="7">
        <f t="shared" si="2"/>
        <v>0</v>
      </c>
      <c r="K20" s="8">
        <f>SUM(K14:K16,K18:K19)</f>
        <v>1768996.5</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4" t="s">
        <v>30</v>
      </c>
      <c r="G26" s="464"/>
      <c r="H26" s="464"/>
      <c r="I26" s="464"/>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f>IF(J28&lt;&gt;0,VLOOKUP($D$7,Info_County_Code,2,FALSE),"")</f>
        <v>10</v>
      </c>
      <c r="D28" s="145" t="s">
        <v>105</v>
      </c>
      <c r="E28" s="117">
        <v>512855.07</v>
      </c>
      <c r="F28" s="120"/>
      <c r="G28" s="117"/>
      <c r="H28" s="117"/>
      <c r="I28" s="312"/>
      <c r="J28" s="119">
        <f>SUM(E28:I28)</f>
        <v>512855.07</v>
      </c>
      <c r="K28"/>
      <c r="L28"/>
      <c r="M28"/>
      <c r="N28"/>
      <c r="O28"/>
      <c r="P28"/>
      <c r="Q28"/>
      <c r="R28"/>
    </row>
    <row r="29" spans="1:18" ht="15.75">
      <c r="A29" s="108"/>
      <c r="B29" s="101">
        <v>2</v>
      </c>
      <c r="C29" s="132">
        <f>IF(J29&lt;&gt;0,VLOOKUP($D$7,Info_County_Code,2,FALSE),"")</f>
        <v>10</v>
      </c>
      <c r="D29" s="145" t="s">
        <v>106</v>
      </c>
      <c r="E29" s="116">
        <v>1183722.23</v>
      </c>
      <c r="F29" s="120"/>
      <c r="G29" s="116"/>
      <c r="H29" s="116"/>
      <c r="I29" s="313"/>
      <c r="J29" s="119">
        <f aca="true" t="shared" si="3" ref="J29:J32">SUM(E29:I29)</f>
        <v>1183722.23</v>
      </c>
      <c r="K29"/>
      <c r="L29"/>
      <c r="M29"/>
      <c r="N29"/>
      <c r="O29"/>
      <c r="P29"/>
      <c r="Q29"/>
      <c r="R29"/>
    </row>
    <row r="30" spans="1:18" ht="15.75">
      <c r="A30" s="108"/>
      <c r="B30" s="101">
        <v>3</v>
      </c>
      <c r="C30" s="132" t="str">
        <f>IF(J30&lt;&gt;0,VLOOKUP($D$7,Info_County_Code,2,FALSE),"")</f>
        <v/>
      </c>
      <c r="D30" s="145" t="s">
        <v>107</v>
      </c>
      <c r="E30" s="116"/>
      <c r="F30" s="120"/>
      <c r="G30" s="116"/>
      <c r="H30" s="116"/>
      <c r="I30" s="313"/>
      <c r="J30" s="119">
        <f t="shared" si="3"/>
        <v>0</v>
      </c>
      <c r="K30"/>
      <c r="L30"/>
      <c r="M30"/>
      <c r="N30"/>
      <c r="O30"/>
      <c r="P30"/>
      <c r="Q30"/>
      <c r="R30"/>
    </row>
    <row r="31" spans="1:18" ht="15.7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18" ht="15.75">
      <c r="A32" s="108"/>
      <c r="B32" s="101">
        <v>5</v>
      </c>
      <c r="C32" s="132">
        <f>IF(J32&lt;&gt;0,VLOOKUP($D$7,Info_County_Code,2,FALSE),"")</f>
        <v>10</v>
      </c>
      <c r="D32" s="145" t="s">
        <v>109</v>
      </c>
      <c r="E32" s="116">
        <v>72419.2</v>
      </c>
      <c r="F32" s="120"/>
      <c r="G32" s="116"/>
      <c r="H32" s="116"/>
      <c r="I32" s="313"/>
      <c r="J32" s="119">
        <f t="shared" si="3"/>
        <v>72419.2</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1.12364583333333" bottom="0.75" header="0.3" footer="0.3"/>
  <pageSetup fitToHeight="1" fitToWidth="1" horizontalDpi="600" verticalDpi="600" orientation="landscape" paperSize="5" scale="82" r:id="rId1"/>
  <headerFooter>
    <oddFooter>&amp;C&amp;"Arial,Regular"&amp;14Page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7"/>
  <sheetViews>
    <sheetView showGridLines="0" zoomScale="70" zoomScaleNormal="70" zoomScaleSheetLayoutView="55" workbookViewId="0" topLeftCell="A1">
      <selection activeCell="D27" sqref="D27"/>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58"/>
      <c r="C1" s="458"/>
      <c r="D1" s="458"/>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Fresno</v>
      </c>
      <c r="E7" s="16"/>
      <c r="F7" s="95" t="s">
        <v>2</v>
      </c>
      <c r="G7" s="109">
        <f>IF(ISBLANK('1. Information'!D7),"",'1. Information'!D7)</f>
        <v>43461</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46" t="s">
        <v>213</v>
      </c>
      <c r="H12" s="446"/>
      <c r="I12" s="446"/>
      <c r="J12" s="446"/>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44" t="s">
        <v>189</v>
      </c>
      <c r="D14" s="444"/>
      <c r="E14" s="440"/>
      <c r="F14" s="142"/>
      <c r="G14" s="142"/>
      <c r="H14" s="142"/>
      <c r="I14" s="142"/>
      <c r="J14" s="142"/>
      <c r="K14" s="118">
        <f>SUM(F14:J14)</f>
        <v>0</v>
      </c>
      <c r="L14"/>
      <c r="M14"/>
      <c r="U14" s="108"/>
      <c r="V14" s="108"/>
      <c r="W14" s="108"/>
    </row>
    <row r="15" spans="2:23" ht="15">
      <c r="B15" s="101">
        <v>2</v>
      </c>
      <c r="C15" s="444" t="s">
        <v>188</v>
      </c>
      <c r="D15" s="444"/>
      <c r="E15" s="440"/>
      <c r="F15" s="142"/>
      <c r="G15" s="142"/>
      <c r="H15" s="142"/>
      <c r="I15" s="142"/>
      <c r="J15" s="142"/>
      <c r="K15" s="118">
        <f aca="true" t="shared" si="0" ref="K15:K20">SUM(F15:J15)</f>
        <v>0</v>
      </c>
      <c r="L15"/>
      <c r="M15"/>
      <c r="U15" s="108"/>
      <c r="V15" s="108"/>
      <c r="W15" s="108"/>
    </row>
    <row r="16" spans="2:23" ht="15">
      <c r="B16" s="101">
        <v>3</v>
      </c>
      <c r="C16" s="444" t="s">
        <v>123</v>
      </c>
      <c r="D16" s="444"/>
      <c r="E16" s="440"/>
      <c r="F16" s="142"/>
      <c r="G16" s="142"/>
      <c r="H16" s="142"/>
      <c r="I16" s="142"/>
      <c r="J16" s="142"/>
      <c r="K16" s="118">
        <f t="shared" si="0"/>
        <v>0</v>
      </c>
      <c r="L16"/>
      <c r="M16"/>
      <c r="U16" s="108"/>
      <c r="V16" s="108"/>
      <c r="W16" s="108"/>
    </row>
    <row r="17" spans="2:23" ht="15">
      <c r="B17" s="101">
        <v>4</v>
      </c>
      <c r="C17" s="444" t="s">
        <v>122</v>
      </c>
      <c r="D17" s="444"/>
      <c r="E17" s="440"/>
      <c r="F17" s="142"/>
      <c r="G17" s="142"/>
      <c r="H17" s="142"/>
      <c r="I17" s="142"/>
      <c r="J17" s="142"/>
      <c r="K17" s="118">
        <f t="shared" si="0"/>
        <v>0</v>
      </c>
      <c r="L17"/>
      <c r="M17"/>
      <c r="U17" s="108"/>
      <c r="V17" s="108"/>
      <c r="W17" s="108"/>
    </row>
    <row r="18" spans="2:23" ht="15">
      <c r="B18" s="101">
        <v>5</v>
      </c>
      <c r="C18" s="444" t="s">
        <v>239</v>
      </c>
      <c r="D18" s="444"/>
      <c r="E18" s="440"/>
      <c r="F18" s="142"/>
      <c r="G18" s="142"/>
      <c r="H18" s="142"/>
      <c r="I18" s="142"/>
      <c r="J18" s="142"/>
      <c r="K18" s="118">
        <f t="shared" si="0"/>
        <v>0</v>
      </c>
      <c r="L18"/>
      <c r="M18"/>
      <c r="U18" s="108"/>
      <c r="V18" s="108"/>
      <c r="W18" s="108"/>
    </row>
    <row r="19" spans="2:23" ht="15">
      <c r="B19" s="101">
        <v>6</v>
      </c>
      <c r="C19" s="444" t="s">
        <v>240</v>
      </c>
      <c r="D19" s="444"/>
      <c r="E19" s="440"/>
      <c r="F19" s="142"/>
      <c r="G19" s="142"/>
      <c r="H19" s="142"/>
      <c r="I19" s="142"/>
      <c r="J19" s="355"/>
      <c r="K19" s="118">
        <f t="shared" si="0"/>
        <v>0</v>
      </c>
      <c r="L19"/>
      <c r="M19"/>
      <c r="U19" s="108"/>
      <c r="V19" s="108"/>
      <c r="W19" s="108"/>
    </row>
    <row r="20" spans="2:23" ht="15">
      <c r="B20" s="101">
        <v>7</v>
      </c>
      <c r="C20" s="444" t="s">
        <v>175</v>
      </c>
      <c r="D20" s="444"/>
      <c r="E20" s="444"/>
      <c r="F20" s="121">
        <f>SUM(G28:G47)</f>
        <v>1833655.9</v>
      </c>
      <c r="G20" s="121">
        <f>SUM(H28:H47)</f>
        <v>0</v>
      </c>
      <c r="H20" s="122">
        <f aca="true" t="shared" si="1" ref="H20">SUM(I28:I47)</f>
        <v>0</v>
      </c>
      <c r="I20" s="122">
        <f>SUM(J28:J47)</f>
        <v>0</v>
      </c>
      <c r="J20" s="119">
        <f>SUM(K28:K47)</f>
        <v>0</v>
      </c>
      <c r="K20" s="118">
        <f t="shared" si="0"/>
        <v>1833655.9</v>
      </c>
      <c r="L20"/>
      <c r="M20"/>
      <c r="U20" s="108"/>
      <c r="V20" s="108"/>
      <c r="W20" s="108"/>
    </row>
    <row r="21" spans="2:23" ht="30.95" customHeight="1">
      <c r="B21" s="101">
        <v>8</v>
      </c>
      <c r="C21" s="465" t="s">
        <v>20</v>
      </c>
      <c r="D21" s="465"/>
      <c r="E21" s="465"/>
      <c r="F21" s="43">
        <f>SUM(F14:F20)</f>
        <v>1833655.9</v>
      </c>
      <c r="G21" s="43">
        <f>SUM(G14:G20)</f>
        <v>0</v>
      </c>
      <c r="H21" s="7">
        <f aca="true" t="shared" si="2" ref="H21:J21">SUM(H14:H20)</f>
        <v>0</v>
      </c>
      <c r="I21" s="7">
        <f t="shared" si="2"/>
        <v>0</v>
      </c>
      <c r="J21" s="299">
        <f t="shared" si="2"/>
        <v>0</v>
      </c>
      <c r="K21" s="7">
        <f aca="true" t="shared" si="3" ref="K21">SUM(K14:K20)</f>
        <v>1833655.9</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4" t="s">
        <v>224</v>
      </c>
      <c r="E26" s="464"/>
      <c r="F26" s="464"/>
      <c r="G26" s="344" t="s">
        <v>214</v>
      </c>
      <c r="H26" s="464" t="s">
        <v>213</v>
      </c>
      <c r="I26" s="464"/>
      <c r="J26" s="464"/>
      <c r="K26" s="464"/>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
      <c r="B28" s="101">
        <v>1</v>
      </c>
      <c r="C28" s="132">
        <f aca="true" t="shared" si="4" ref="C28:C47">IF(L28&lt;&gt;0,VLOOKUP($D$7,Info_County_Code,2,FALSE),"")</f>
        <v>10</v>
      </c>
      <c r="D28" s="364" t="s">
        <v>329</v>
      </c>
      <c r="E28" s="364" t="s">
        <v>328</v>
      </c>
      <c r="F28" s="125" t="s">
        <v>177</v>
      </c>
      <c r="G28" s="117">
        <v>1833655.9</v>
      </c>
      <c r="H28" s="126"/>
      <c r="I28" s="126"/>
      <c r="J28" s="117"/>
      <c r="K28" s="312"/>
      <c r="L28" s="316">
        <f>SUM(G28:K28)</f>
        <v>1833655.9</v>
      </c>
      <c r="M28"/>
      <c r="U28" s="108"/>
      <c r="V28" s="108"/>
      <c r="W28" s="108"/>
    </row>
    <row r="29" spans="2:23" ht="15">
      <c r="B29" s="101">
        <v>2</v>
      </c>
      <c r="C29" s="132" t="str">
        <f t="shared" si="4"/>
        <v/>
      </c>
      <c r="D29" s="396"/>
      <c r="E29" s="396"/>
      <c r="F29" s="125"/>
      <c r="G29" s="117"/>
      <c r="H29" s="126"/>
      <c r="I29" s="120"/>
      <c r="J29" s="116"/>
      <c r="K29" s="313"/>
      <c r="L29" s="316">
        <f aca="true" t="shared" si="5" ref="L29:L47">SUM(G29:K29)</f>
        <v>0</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364"/>
      <c r="E35" s="364"/>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364"/>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1.12364583333333" bottom="0.75" header="0.3" footer="0.3"/>
  <pageSetup fitToHeight="1" fitToWidth="1" horizontalDpi="600" verticalDpi="600" orientation="landscape" paperSize="5" scale="58" r:id="rId1"/>
  <headerFooter>
    <oddFooter>&amp;C&amp;"Arial,Regular"&amp;14Page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2018-12-22T00:27:15Z</cp:lastPrinted>
  <dcterms:created xsi:type="dcterms:W3CDTF">2017-07-05T19:48:18Z</dcterms:created>
  <dcterms:modified xsi:type="dcterms:W3CDTF">2019-05-21T20:57:45Z</dcterms:modified>
  <cp:category/>
  <cp:version/>
  <cp:contentType/>
  <cp:contentStatus/>
</cp:coreProperties>
</file>